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1628" windowHeight="8832"/>
  </bookViews>
  <sheets>
    <sheet name="Berekening omslagpunt EZ-BV" sheetId="1" r:id="rId1"/>
    <sheet name="Latente box 2 heffing" sheetId="2" r:id="rId2"/>
    <sheet name="Toelichting" sheetId="3" r:id="rId3"/>
  </sheets>
  <definedNames>
    <definedName name="_xlnm.Print_Area" localSheetId="0">'Berekening omslagpunt EZ-BV'!$A$1:$O$51</definedName>
  </definedNames>
  <calcPr calcId="145621"/>
</workbook>
</file>

<file path=xl/calcChain.xml><?xml version="1.0" encoding="utf-8"?>
<calcChain xmlns="http://schemas.openxmlformats.org/spreadsheetml/2006/main">
  <c r="L13" i="1" l="1"/>
  <c r="L15" i="1" s="1"/>
  <c r="G43" i="1"/>
  <c r="D37" i="1"/>
  <c r="L31" i="1"/>
  <c r="L32" i="1" s="1"/>
  <c r="G13" i="1"/>
  <c r="I13" i="1" s="1"/>
  <c r="G31" i="1"/>
  <c r="G32" i="1" s="1"/>
  <c r="G40" i="1" s="1"/>
  <c r="G44" i="1"/>
  <c r="C13" i="2"/>
  <c r="C18" i="2" s="1"/>
  <c r="C14" i="2" l="1"/>
  <c r="G15" i="1"/>
  <c r="G16" i="1" s="1"/>
  <c r="L40" i="1"/>
  <c r="L33" i="1"/>
  <c r="I53" i="1"/>
  <c r="I40" i="1"/>
  <c r="G42" i="1"/>
  <c r="G45" i="1" s="1"/>
  <c r="I45" i="1" s="1"/>
  <c r="L16" i="1"/>
  <c r="L18" i="1" s="1"/>
  <c r="N13" i="1"/>
  <c r="N53" i="1" s="1"/>
  <c r="G33" i="1"/>
  <c r="C15" i="2" l="1"/>
  <c r="C16" i="2"/>
  <c r="D13" i="2" s="1"/>
  <c r="L22" i="1"/>
  <c r="L21" i="1"/>
  <c r="L43" i="1"/>
  <c r="L44" i="1"/>
  <c r="L20" i="1"/>
  <c r="G18" i="1"/>
  <c r="G20" i="1" s="1"/>
  <c r="G23" i="1" s="1"/>
  <c r="I23" i="1" s="1"/>
  <c r="I25" i="1" s="1"/>
  <c r="I54" i="1" s="1"/>
  <c r="G35" i="1"/>
  <c r="I35" i="1" s="1"/>
  <c r="I33" i="1"/>
  <c r="N40" i="1"/>
  <c r="L42" i="1"/>
  <c r="N33" i="1"/>
  <c r="L35" i="1"/>
  <c r="N35" i="1" s="1"/>
  <c r="D14" i="2" l="1"/>
  <c r="D15" i="2" s="1"/>
  <c r="D18" i="2"/>
  <c r="L45" i="1"/>
  <c r="N45" i="1" s="1"/>
  <c r="L23" i="1"/>
  <c r="N23" i="1" s="1"/>
  <c r="N25" i="1" s="1"/>
  <c r="N54" i="1" s="1"/>
  <c r="L36" i="1"/>
  <c r="L37" i="1" s="1"/>
  <c r="N37" i="1" s="1"/>
  <c r="G36" i="1"/>
  <c r="G37" i="1" s="1"/>
  <c r="I37" i="1" s="1"/>
  <c r="I48" i="1" s="1"/>
  <c r="I55" i="1" s="1"/>
  <c r="I57" i="1" s="1"/>
  <c r="D16" i="2" l="1"/>
  <c r="E13" i="2" s="1"/>
  <c r="N48" i="1"/>
  <c r="N55" i="1" s="1"/>
  <c r="N57" i="1" s="1"/>
  <c r="E16" i="2" l="1"/>
  <c r="F13" i="2" s="1"/>
  <c r="E18" i="2"/>
  <c r="E14" i="2"/>
  <c r="E15" i="2" s="1"/>
  <c r="F14" i="2" l="1"/>
  <c r="F15" i="2" s="1"/>
  <c r="F16" i="2"/>
  <c r="G13" i="2" s="1"/>
  <c r="F18" i="2"/>
  <c r="G18" i="2" l="1"/>
  <c r="G14" i="2"/>
  <c r="G15" i="2" s="1"/>
  <c r="G16" i="2" l="1"/>
  <c r="H13" i="2" s="1"/>
  <c r="H16" i="2" l="1"/>
  <c r="I13" i="2" s="1"/>
  <c r="H18" i="2"/>
  <c r="H14" i="2"/>
  <c r="H15" i="2" s="1"/>
  <c r="I18" i="2" l="1"/>
  <c r="I16" i="2"/>
  <c r="J13" i="2" s="1"/>
  <c r="I14" i="2"/>
  <c r="I15" i="2" s="1"/>
  <c r="J14" i="2" l="1"/>
  <c r="J15" i="2" s="1"/>
  <c r="J16" i="2"/>
  <c r="K13" i="2" s="1"/>
  <c r="J18" i="2"/>
  <c r="K18" i="2" l="1"/>
  <c r="K14" i="2"/>
  <c r="K15" i="2" s="1"/>
  <c r="K16" i="2" l="1"/>
  <c r="L13" i="2" s="1"/>
  <c r="L14" i="2" l="1"/>
  <c r="L15" i="2" s="1"/>
  <c r="L18" i="2"/>
  <c r="L16" i="2" l="1"/>
  <c r="M13" i="2" s="1"/>
  <c r="M16" i="2" l="1"/>
  <c r="N13" i="2" s="1"/>
  <c r="M18" i="2"/>
  <c r="M14" i="2"/>
  <c r="M15" i="2" s="1"/>
  <c r="N14" i="2" l="1"/>
  <c r="N15" i="2" s="1"/>
  <c r="N16" i="2"/>
  <c r="O13" i="2" s="1"/>
  <c r="N18" i="2"/>
  <c r="O14" i="2" l="1"/>
  <c r="O15" i="2" s="1"/>
  <c r="O18" i="2"/>
  <c r="O16" i="2" l="1"/>
  <c r="P13" i="2" s="1"/>
  <c r="P14" i="2" l="1"/>
  <c r="P15" i="2" s="1"/>
  <c r="P16" i="2" s="1"/>
  <c r="Q13" i="2" s="1"/>
  <c r="P18" i="2"/>
  <c r="Q18" i="2" l="1"/>
  <c r="Q14" i="2"/>
  <c r="Q15" i="2" s="1"/>
  <c r="Q16" i="2" l="1"/>
  <c r="R13" i="2" s="1"/>
  <c r="R18" i="2" l="1"/>
  <c r="R14" i="2"/>
  <c r="R15" i="2" s="1"/>
  <c r="R16" i="2"/>
  <c r="C25" i="2" s="1"/>
  <c r="C26" i="2" l="1"/>
  <c r="C27" i="2" s="1"/>
  <c r="C30" i="2"/>
  <c r="C28" i="2"/>
  <c r="D25" i="2" s="1"/>
  <c r="D30" i="2" l="1"/>
  <c r="D26" i="2"/>
  <c r="D27" i="2" s="1"/>
  <c r="D28" i="2" l="1"/>
  <c r="E25" i="2" s="1"/>
  <c r="E30" i="2" l="1"/>
  <c r="E26" i="2"/>
  <c r="E27" i="2" s="1"/>
  <c r="E28" i="2"/>
  <c r="F25" i="2" s="1"/>
  <c r="F26" i="2" l="1"/>
  <c r="F27" i="2" s="1"/>
  <c r="F30" i="2"/>
  <c r="F28" i="2" l="1"/>
  <c r="G25" i="2" s="1"/>
  <c r="G30" i="2" l="1"/>
  <c r="G31" i="2" s="1"/>
  <c r="F31" i="2" s="1"/>
  <c r="E31" i="2" s="1"/>
  <c r="D31" i="2" s="1"/>
  <c r="C31" i="2" s="1"/>
  <c r="R19" i="2" s="1"/>
  <c r="Q19" i="2" s="1"/>
  <c r="P19" i="2" s="1"/>
  <c r="O19" i="2" s="1"/>
  <c r="N19" i="2" s="1"/>
  <c r="M19" i="2" s="1"/>
  <c r="L19" i="2" s="1"/>
  <c r="K19" i="2" s="1"/>
  <c r="J19" i="2" s="1"/>
  <c r="I19" i="2" s="1"/>
  <c r="H19" i="2" s="1"/>
  <c r="G19" i="2" s="1"/>
  <c r="F19" i="2" s="1"/>
  <c r="E19" i="2" s="1"/>
  <c r="D19" i="2" s="1"/>
  <c r="C19" i="2" s="1"/>
  <c r="C20" i="2" s="1"/>
  <c r="C21" i="2" s="1"/>
  <c r="G26" i="2"/>
  <c r="G27" i="2" s="1"/>
  <c r="G28" i="2" l="1"/>
</calcChain>
</file>

<file path=xl/sharedStrings.xml><?xml version="1.0" encoding="utf-8"?>
<sst xmlns="http://schemas.openxmlformats.org/spreadsheetml/2006/main" count="99" uniqueCount="86">
  <si>
    <t>BV</t>
  </si>
  <si>
    <t>Samenvatting</t>
  </si>
  <si>
    <t>Winst</t>
  </si>
  <si>
    <t>EZ besteedbaar</t>
  </si>
  <si>
    <t>BV besteedbaar</t>
  </si>
  <si>
    <t>Verschil</t>
  </si>
  <si>
    <t>Uitgangspunten:</t>
  </si>
  <si>
    <t>Bruto winst:</t>
  </si>
  <si>
    <t>Fictief salaris:</t>
  </si>
  <si>
    <t>Latent AB-tarief</t>
  </si>
  <si>
    <t>Bruto winst</t>
  </si>
  <si>
    <t>Besteedbaar</t>
  </si>
  <si>
    <t>Fiscaal</t>
  </si>
  <si>
    <t>Besteedbaar inkomen</t>
  </si>
  <si>
    <t>Winst na VPB</t>
  </si>
  <si>
    <t>Vennootschapsbelasting</t>
  </si>
  <si>
    <t>Heffing box 2</t>
  </si>
  <si>
    <t>Eenmanszaak</t>
  </si>
  <si>
    <t xml:space="preserve">Winst voor aftrek van salaris </t>
  </si>
  <si>
    <t>Af: salaris</t>
  </si>
  <si>
    <t>Bruto winst BV</t>
  </si>
  <si>
    <t>Salaris (=bi uit werk en woning)</t>
  </si>
  <si>
    <t>Belastbaar inkomen uit werk en woning</t>
  </si>
  <si>
    <t>MKB-winstvrijstelling</t>
  </si>
  <si>
    <t>Benadering latente box 2 heffing</t>
  </si>
  <si>
    <t>niet uitgekeerd dividend</t>
  </si>
  <si>
    <t>tarief box 2 ib nominaal</t>
  </si>
  <si>
    <t>uitstel div uitkering in jaren</t>
  </si>
  <si>
    <t>rendement in bv over niet uitgekeerde reserves</t>
  </si>
  <si>
    <t>cw box 2-claim tegen</t>
  </si>
  <si>
    <t>tarief vpb over rendement</t>
  </si>
  <si>
    <t>rendement</t>
  </si>
  <si>
    <t>claim box 2</t>
  </si>
  <si>
    <t>% cw</t>
  </si>
  <si>
    <t>Berekening omslagpunt eenmanszaak-BV</t>
  </si>
  <si>
    <t>in % belastingdruk box 2</t>
  </si>
  <si>
    <t>vpb over rendement</t>
  </si>
  <si>
    <t>Een paar kanttekeningen:</t>
  </si>
  <si>
    <t>Bijgaande berekening “Omslagpunt eenmanszaak-BV” is een statische berekening van het omslagpunt per belastingjaar. Deze gaat uit van gestileerde,</t>
  </si>
  <si>
    <t xml:space="preserve">niet-individuele gegevens, waarbij met een groot aantal bijzonderheden geen rekening wordt gehouden. Met name wordt ook geen rekening gehouden  </t>
  </si>
  <si>
    <t xml:space="preserve">met tijdelijke effecten zoals afschrijving over goodwill en stille reserves na een ruisende inbreng. Ook met de kosten van opbouw van </t>
  </si>
  <si>
    <t>oudedagsvoorzieningen wordt in beide gevallen (EZ en BV) geen rekening gehouden.</t>
  </si>
  <si>
    <t xml:space="preserve">Wat overblijft is een zo zuiver mogelijke vergelijking van de belasting- en premiedruk van een bepaalde onderneming met een bepaald winstniveau in de vorm </t>
  </si>
  <si>
    <t>van een eenmanszaak en een BV.</t>
  </si>
  <si>
    <t xml:space="preserve">Het is feitelijk geen rekenmodel, maar kent per belastingjaar slechts één uitkomst. Worden de uitgangspunten aangepast, dan zal de uitkomst uiteraard </t>
  </si>
  <si>
    <t xml:space="preserve">wijzigen. Slechts drie velden/uitgangspunten kunnen worden gewijzigd: het bedrag van de winst, het percentage latente box 2-heffing en het gebruikelijk loon. </t>
  </si>
  <si>
    <t>De uitkomst (het omslagpunt) komt tot stand door “trial and error”. Door per belastingjaar de velden “winst” en “latente box 2 heffing” en “gebruikelijk loon”</t>
  </si>
  <si>
    <t xml:space="preserve">aan te passen, wijzigt de berekening van het besteedbaar inkomen in de eenmanszaak en in de BV. Zodra het besteedbaar inkomen in de BV-vorm hoger  </t>
  </si>
  <si>
    <t>wordt dan in de eenmanszaak, is het omslagpunt bereikt.</t>
  </si>
  <si>
    <t xml:space="preserve">De techniek van het rekenmodel is derhalve dusdanig dat is berekend vanaf welk winstniveau bij overigens gelijkblijvende variabelen de druk in de BV-vorm </t>
  </si>
  <si>
    <t xml:space="preserve">lager wordt dan in de vorm van een eenmanszaak  gedreven onderneming. Hierbij is de latente (contante waarde van de) box-2 heffing van grote invloed  </t>
  </si>
  <si>
    <t xml:space="preserve">op de uitkomst. In blad 2 van dit model treft u een berekening aan waarmee deze contante waarde kan worden benaderd, uitgaande van uitstel van heffing </t>
  </si>
  <si>
    <t xml:space="preserve">met 20 jaar. Twee elementen zijn daarbij van belang: enerzijds het rendement behaald in de BV met de niet uitgekeerde winst, anderzijds het percentage </t>
  </si>
  <si>
    <t xml:space="preserve">waarmee de in de toekomst verschuldigde box 2-heffing contant wordt gemaakt. Immers, deze heffing kan uiteraard worden uitgesteld. Echter, het rendement </t>
  </si>
  <si>
    <t xml:space="preserve">behaald door de BV met de niet uitgekeerde winst is belast met vennootschapsbelasting. Wordt het rendement gelijk gesteld aan het percentage contante </t>
  </si>
  <si>
    <r>
      <t>1.</t>
    </r>
    <r>
      <rPr>
        <sz val="10"/>
        <rFont val="Times New Roman"/>
        <family val="1"/>
      </rPr>
      <t>  </t>
    </r>
  </si>
  <si>
    <t>2.</t>
  </si>
  <si>
    <t>3.</t>
  </si>
  <si>
    <t>4.</t>
  </si>
  <si>
    <t xml:space="preserve"> Deze berekening is om een globaal idee te geven vanaf welk winstniveau in beginsel inbreng in een BV aantrekkelijker is, zuiver vanuit fiscaal </t>
  </si>
  <si>
    <t xml:space="preserve">oogpunt bezien. Er zijn natuurlijk een groot aantal andere motieven om, bij een lagere winst dan het omslagpunt, desalniettemin de BV-vorm op te zoeken. </t>
  </si>
  <si>
    <t>Een belangrijke daarbij is het vergroten van de liquiditeit, door over te gaan tot uitstel van belastingheffing.</t>
  </si>
  <si>
    <t xml:space="preserve">Zoals gezegd is geen rekening gehouden met persoonlijke omstandigheden. Hiervoor kan het rekenmodel : “inbreng in BV of niet” uitkomst bieden. </t>
  </si>
  <si>
    <t>In dat model kunnen een aantal persoonlijke omstandigheden, waaronder het verwachte winstniveau, aftrekpost eigen woning etc. van de betreffende.</t>
  </si>
  <si>
    <t xml:space="preserve"> ondernemer, worden ingegeven. Het model berekent vervolgens de belasting- en premiedruk, alsmede het besteedbaar inkomen in de eenmanszaak, </t>
  </si>
  <si>
    <t>na ruisende inbreng en na geruisloze inbreng</t>
  </si>
  <si>
    <t xml:space="preserve">Zelfstandigenaftrek </t>
  </si>
  <si>
    <t xml:space="preserve">ib/pvv </t>
  </si>
  <si>
    <t xml:space="preserve">Verschuldigde ib/pvv </t>
  </si>
  <si>
    <t>Deze berekening geldt uiteraard ook voor een samenwerkingsverband .</t>
  </si>
  <si>
    <t>Het omslagpunt heeft dan uiteraard betrekking op het winstaandeel van de vennoot waarvoor de beoordeling wordt gemaakt.</t>
  </si>
  <si>
    <t xml:space="preserve"> </t>
  </si>
  <si>
    <t>waarde, dan bedraagt de contante waarde derhalve minder dan 100% (circa 85%) van het nominale tarief in box 2.  Bij een rendement van 5%, een heffing van vpb</t>
  </si>
  <si>
    <t xml:space="preserve">van 20% en een percentage contante waarde van 4% bedraagt de contante waarde uiteraard exact 100% van de latente heffing. </t>
  </si>
  <si>
    <t xml:space="preserve">Voor het in te geven dga- loon is van belang in hoeverre de inspecteur een hoger dga-loon zou kunnen stellen. Bij een eenmans-BV en een werkzaamheid  </t>
  </si>
  <si>
    <t xml:space="preserve">uiteraard ook het omslagpunt toe. </t>
  </si>
  <si>
    <t>cw claim uit 2032</t>
  </si>
  <si>
    <t>cw claim uit 2033</t>
  </si>
  <si>
    <t>Algemene heffingskorting</t>
  </si>
  <si>
    <t>Arbeidskorting</t>
  </si>
  <si>
    <t>algemene heffingskorting</t>
  </si>
  <si>
    <t>arbeidskorting</t>
  </si>
  <si>
    <t>5.</t>
  </si>
  <si>
    <t xml:space="preserve">Met de eenmalige verlaging van het box 2-tarief in 2014 is geen rekening gehouden. U kunt dit zelf aanpassen. </t>
  </si>
  <si>
    <t>Toelichting</t>
  </si>
  <si>
    <t xml:space="preserve">van de dga met een hoge toegevoegde waarde kan niet met een dga-loon van € 43.000 worden gerekend. Naarmate het dga-loon hoger wordt neemt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</si>
</sst>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/m"/>
  </numFmts>
  <fonts count="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164" fontId="0" fillId="0" borderId="0" xfId="1" applyNumberFormat="1" applyFont="1" applyBorder="1"/>
    <xf numFmtId="0" fontId="0" fillId="0" borderId="1" xfId="0" applyBorder="1"/>
    <xf numFmtId="3" fontId="0" fillId="0" borderId="0" xfId="0" applyNumberFormat="1" applyFill="1"/>
    <xf numFmtId="0" fontId="0" fillId="0" borderId="0" xfId="0" applyFill="1"/>
    <xf numFmtId="3" fontId="3" fillId="0" borderId="2" xfId="0" applyNumberFormat="1" applyFont="1" applyBorder="1"/>
    <xf numFmtId="0" fontId="0" fillId="0" borderId="0" xfId="0" applyBorder="1"/>
    <xf numFmtId="3" fontId="0" fillId="0" borderId="0" xfId="1" applyNumberFormat="1" applyFont="1" applyBorder="1"/>
    <xf numFmtId="3" fontId="0" fillId="0" borderId="3" xfId="0" applyNumberFormat="1" applyBorder="1"/>
    <xf numFmtId="1" fontId="3" fillId="0" borderId="4" xfId="0" applyNumberFormat="1" applyFont="1" applyBorder="1" applyAlignment="1">
      <alignment horizontal="left"/>
    </xf>
    <xf numFmtId="3" fontId="4" fillId="0" borderId="4" xfId="0" applyNumberFormat="1" applyFont="1" applyBorder="1"/>
    <xf numFmtId="3" fontId="4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0" fontId="4" fillId="0" borderId="3" xfId="0" applyFont="1" applyBorder="1"/>
    <xf numFmtId="3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8" xfId="0" applyBorder="1"/>
    <xf numFmtId="3" fontId="3" fillId="0" borderId="8" xfId="0" applyNumberFormat="1" applyFont="1" applyBorder="1"/>
    <xf numFmtId="0" fontId="0" fillId="0" borderId="3" xfId="0" applyBorder="1"/>
    <xf numFmtId="3" fontId="0" fillId="0" borderId="4" xfId="0" applyNumberFormat="1" applyFill="1" applyBorder="1"/>
    <xf numFmtId="0" fontId="0" fillId="0" borderId="9" xfId="0" applyBorder="1"/>
    <xf numFmtId="10" fontId="0" fillId="0" borderId="0" xfId="0" applyNumberFormat="1" applyBorder="1"/>
    <xf numFmtId="3" fontId="3" fillId="0" borderId="4" xfId="0" applyNumberFormat="1" applyFont="1" applyBorder="1"/>
    <xf numFmtId="3" fontId="2" fillId="0" borderId="6" xfId="0" applyNumberFormat="1" applyFont="1" applyBorder="1"/>
    <xf numFmtId="3" fontId="0" fillId="0" borderId="1" xfId="0" applyNumberFormat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0" fontId="5" fillId="0" borderId="0" xfId="0" applyFont="1"/>
    <xf numFmtId="0" fontId="5" fillId="0" borderId="1" xfId="0" applyNumberFormat="1" applyFont="1" applyBorder="1"/>
    <xf numFmtId="3" fontId="5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left" indent="5"/>
    </xf>
    <xf numFmtId="0" fontId="4" fillId="0" borderId="0" xfId="0" applyFont="1" applyAlignment="1"/>
    <xf numFmtId="0" fontId="6" fillId="0" borderId="0" xfId="0" applyFont="1" applyAlignment="1">
      <alignment horizontal="left"/>
    </xf>
    <xf numFmtId="3" fontId="5" fillId="0" borderId="10" xfId="0" applyNumberFormat="1" applyFont="1" applyBorder="1"/>
    <xf numFmtId="4" fontId="5" fillId="0" borderId="10" xfId="0" applyNumberFormat="1" applyFont="1" applyBorder="1"/>
    <xf numFmtId="10" fontId="5" fillId="0" borderId="10" xfId="1" applyNumberFormat="1" applyFont="1" applyBorder="1"/>
    <xf numFmtId="3" fontId="0" fillId="0" borderId="0" xfId="0" applyNumberFormat="1" applyBorder="1" applyAlignment="1">
      <alignment horizontal="right"/>
    </xf>
    <xf numFmtId="3" fontId="4" fillId="0" borderId="0" xfId="0" applyNumberFormat="1" applyFont="1"/>
    <xf numFmtId="10" fontId="4" fillId="0" borderId="0" xfId="0" applyNumberFormat="1" applyFont="1"/>
    <xf numFmtId="0" fontId="4" fillId="0" borderId="1" xfId="0" applyNumberFormat="1" applyFont="1" applyBorder="1"/>
    <xf numFmtId="165" fontId="4" fillId="0" borderId="10" xfId="0" quotePrefix="1" applyNumberFormat="1" applyFont="1" applyBorder="1" applyAlignment="1">
      <alignment horizontal="left"/>
    </xf>
    <xf numFmtId="3" fontId="4" fillId="0" borderId="10" xfId="0" applyNumberFormat="1" applyFont="1" applyBorder="1"/>
    <xf numFmtId="165" fontId="5" fillId="0" borderId="10" xfId="0" quotePrefix="1" applyNumberFormat="1" applyFont="1" applyBorder="1" applyAlignment="1">
      <alignment horizontal="left"/>
    </xf>
    <xf numFmtId="3" fontId="5" fillId="0" borderId="0" xfId="0" applyNumberFormat="1" applyFont="1" applyBorder="1"/>
    <xf numFmtId="0" fontId="8" fillId="0" borderId="0" xfId="0" applyFont="1"/>
    <xf numFmtId="3" fontId="4" fillId="2" borderId="0" xfId="0" applyNumberFormat="1" applyFont="1" applyFill="1" applyProtection="1">
      <protection locked="0"/>
    </xf>
    <xf numFmtId="10" fontId="4" fillId="2" borderId="0" xfId="1" applyNumberFormat="1" applyFont="1" applyFill="1" applyProtection="1">
      <protection locked="0"/>
    </xf>
    <xf numFmtId="3" fontId="0" fillId="2" borderId="0" xfId="0" applyNumberFormat="1" applyFill="1" applyProtection="1">
      <protection locked="0"/>
    </xf>
    <xf numFmtId="10" fontId="0" fillId="2" borderId="0" xfId="0" applyNumberFormat="1" applyFill="1" applyProtection="1">
      <protection locked="0"/>
    </xf>
    <xf numFmtId="0" fontId="1" fillId="0" borderId="0" xfId="0" applyFont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zoomScaleNormal="100" zoomScaleSheetLayoutView="100" workbookViewId="0">
      <selection activeCell="E5" sqref="E5"/>
    </sheetView>
  </sheetViews>
  <sheetFormatPr defaultColWidth="0" defaultRowHeight="13.2" zeroHeight="1" x14ac:dyDescent="0.25"/>
  <cols>
    <col min="1" max="1" width="2.6640625" customWidth="1"/>
    <col min="2" max="5" width="9.109375" customWidth="1"/>
    <col min="6" max="6" width="3.88671875" customWidth="1"/>
    <col min="7" max="7" width="9.109375" customWidth="1"/>
    <col min="8" max="8" width="7.6640625" customWidth="1"/>
    <col min="9" max="9" width="9.88671875" bestFit="1" customWidth="1"/>
    <col min="10" max="10" width="4.109375" customWidth="1"/>
    <col min="11" max="11" width="3.44140625" customWidth="1"/>
    <col min="12" max="12" width="9.109375" customWidth="1"/>
    <col min="13" max="13" width="7.44140625" customWidth="1"/>
    <col min="14" max="14" width="9.109375" customWidth="1"/>
    <col min="15" max="15" width="3.88671875" customWidth="1"/>
  </cols>
  <sheetData>
    <row r="1" spans="1:15" x14ac:dyDescent="0.25">
      <c r="A1" s="35" t="s">
        <v>34</v>
      </c>
    </row>
    <row r="2" spans="1:15" x14ac:dyDescent="0.25"/>
    <row r="3" spans="1:15" x14ac:dyDescent="0.25">
      <c r="B3" s="35" t="s">
        <v>6</v>
      </c>
    </row>
    <row r="4" spans="1:15" x14ac:dyDescent="0.25"/>
    <row r="5" spans="1:15" x14ac:dyDescent="0.25">
      <c r="C5" t="s">
        <v>7</v>
      </c>
      <c r="E5" s="59">
        <v>200000</v>
      </c>
      <c r="F5" s="59"/>
    </row>
    <row r="6" spans="1:15" x14ac:dyDescent="0.25">
      <c r="C6" t="s">
        <v>8</v>
      </c>
      <c r="E6" s="59">
        <v>80000</v>
      </c>
      <c r="F6" s="59"/>
    </row>
    <row r="7" spans="1:15" x14ac:dyDescent="0.25">
      <c r="C7" t="s">
        <v>9</v>
      </c>
      <c r="E7" s="60">
        <v>0.21</v>
      </c>
      <c r="F7" s="60"/>
    </row>
    <row r="8" spans="1:15" x14ac:dyDescent="0.25"/>
    <row r="9" spans="1:15" s="9" customFormat="1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5" x14ac:dyDescent="0.25">
      <c r="B10" s="1"/>
      <c r="C10" s="1"/>
      <c r="D10" s="1"/>
      <c r="E10" s="1"/>
      <c r="F10" s="1"/>
      <c r="G10" s="1"/>
      <c r="N10" s="1"/>
    </row>
    <row r="11" spans="1:15" x14ac:dyDescent="0.25">
      <c r="B11" s="28"/>
      <c r="C11" s="32" t="s">
        <v>17</v>
      </c>
      <c r="D11" s="18"/>
      <c r="E11" s="23"/>
      <c r="F11" s="11"/>
      <c r="G11" s="18"/>
      <c r="H11" s="12">
        <v>2013</v>
      </c>
      <c r="I11" s="13"/>
      <c r="J11" s="14"/>
      <c r="K11" s="17"/>
      <c r="L11" s="13"/>
      <c r="M11" s="12">
        <v>2014</v>
      </c>
      <c r="N11" s="18"/>
      <c r="O11" s="19"/>
    </row>
    <row r="12" spans="1:15" x14ac:dyDescent="0.25">
      <c r="B12" s="33"/>
      <c r="C12" s="2"/>
      <c r="D12" s="2"/>
      <c r="E12" s="16"/>
      <c r="F12" s="15"/>
      <c r="G12" s="34" t="s">
        <v>12</v>
      </c>
      <c r="H12" s="2"/>
      <c r="I12" s="2" t="s">
        <v>11</v>
      </c>
      <c r="J12" s="16"/>
      <c r="K12" s="20"/>
      <c r="L12" s="34" t="s">
        <v>12</v>
      </c>
      <c r="M12" s="2"/>
      <c r="N12" s="2" t="s">
        <v>11</v>
      </c>
      <c r="O12" s="21"/>
    </row>
    <row r="13" spans="1:15" x14ac:dyDescent="0.25">
      <c r="B13" s="11" t="s">
        <v>10</v>
      </c>
      <c r="C13" s="18"/>
      <c r="D13" s="18"/>
      <c r="E13" s="23"/>
      <c r="F13" s="11"/>
      <c r="G13" s="29">
        <f>E5</f>
        <v>200000</v>
      </c>
      <c r="H13" s="22"/>
      <c r="I13" s="18">
        <f>G13</f>
        <v>200000</v>
      </c>
      <c r="J13" s="23"/>
      <c r="K13" s="28"/>
      <c r="L13" s="29">
        <f>E5</f>
        <v>200000</v>
      </c>
      <c r="M13" s="22"/>
      <c r="N13" s="18">
        <f>L13</f>
        <v>200000</v>
      </c>
      <c r="O13" s="19"/>
    </row>
    <row r="14" spans="1:15" x14ac:dyDescent="0.25">
      <c r="B14" s="25" t="s">
        <v>66</v>
      </c>
      <c r="C14" s="3"/>
      <c r="D14" s="3"/>
      <c r="E14" s="24"/>
      <c r="F14" s="25"/>
      <c r="G14" s="2">
        <v>-7280</v>
      </c>
      <c r="H14" s="9"/>
      <c r="I14" s="3"/>
      <c r="J14" s="24"/>
      <c r="K14" s="30"/>
      <c r="L14" s="2">
        <v>-7280</v>
      </c>
      <c r="M14" s="9"/>
      <c r="N14" s="3"/>
      <c r="O14" s="26"/>
    </row>
    <row r="15" spans="1:15" x14ac:dyDescent="0.25">
      <c r="B15" s="30"/>
      <c r="C15" s="9"/>
      <c r="D15" s="9"/>
      <c r="E15" s="26"/>
      <c r="F15" s="30"/>
      <c r="G15" s="3">
        <f>SUM(G13:G14)</f>
        <v>192720</v>
      </c>
      <c r="H15" s="9"/>
      <c r="I15" s="9"/>
      <c r="J15" s="26"/>
      <c r="K15" s="30"/>
      <c r="L15" s="3">
        <f>SUM(L13:L14)</f>
        <v>192720</v>
      </c>
      <c r="M15" s="9"/>
      <c r="N15" s="3"/>
      <c r="O15" s="26"/>
    </row>
    <row r="16" spans="1:15" x14ac:dyDescent="0.25">
      <c r="B16" s="25" t="s">
        <v>23</v>
      </c>
      <c r="C16" s="3"/>
      <c r="D16" s="3"/>
      <c r="E16" s="24"/>
      <c r="F16" s="25"/>
      <c r="G16" s="48">
        <f>-G15*0.14</f>
        <v>-26980.800000000003</v>
      </c>
      <c r="H16" s="9"/>
      <c r="I16" s="3"/>
      <c r="J16" s="24"/>
      <c r="K16" s="30"/>
      <c r="L16" s="2">
        <f>-L15*0.14</f>
        <v>-26980.800000000003</v>
      </c>
      <c r="M16" s="9"/>
      <c r="N16" s="3"/>
      <c r="O16" s="26"/>
    </row>
    <row r="17" spans="2:15" x14ac:dyDescent="0.25">
      <c r="B17" s="25"/>
      <c r="C17" s="3"/>
      <c r="D17" s="3"/>
      <c r="E17" s="24"/>
      <c r="F17" s="25"/>
      <c r="G17" s="3"/>
      <c r="H17" s="9"/>
      <c r="I17" s="3"/>
      <c r="J17" s="24"/>
      <c r="K17" s="30"/>
      <c r="L17" s="3"/>
      <c r="M17" s="9"/>
      <c r="N17" s="3"/>
      <c r="O17" s="26"/>
    </row>
    <row r="18" spans="2:15" x14ac:dyDescent="0.25">
      <c r="B18" s="25" t="s">
        <v>22</v>
      </c>
      <c r="C18" s="3"/>
      <c r="D18" s="3"/>
      <c r="E18" s="24"/>
      <c r="F18" s="25"/>
      <c r="G18" s="3">
        <f>SUM(G15:G16)</f>
        <v>165739.20000000001</v>
      </c>
      <c r="H18" s="9"/>
      <c r="I18" s="3"/>
      <c r="J18" s="24"/>
      <c r="K18" s="30"/>
      <c r="L18" s="3">
        <f>SUM(L15:L16)</f>
        <v>165739.20000000001</v>
      </c>
      <c r="M18" s="9"/>
      <c r="N18" s="3"/>
      <c r="O18" s="26"/>
    </row>
    <row r="19" spans="2:15" x14ac:dyDescent="0.25">
      <c r="B19" s="25"/>
      <c r="C19" s="3"/>
      <c r="D19" s="3"/>
      <c r="E19" s="24"/>
      <c r="F19" s="25"/>
      <c r="G19" s="3"/>
      <c r="H19" s="9"/>
      <c r="I19" s="3"/>
      <c r="J19" s="24"/>
      <c r="K19" s="30"/>
      <c r="L19" s="3"/>
      <c r="M19" s="9"/>
      <c r="N19" s="3"/>
      <c r="O19" s="26"/>
    </row>
    <row r="20" spans="2:15" x14ac:dyDescent="0.25">
      <c r="B20" s="25" t="s">
        <v>67</v>
      </c>
      <c r="C20" s="3"/>
      <c r="D20" s="3"/>
      <c r="E20" s="24"/>
      <c r="F20" s="25"/>
      <c r="G20" s="3">
        <f>ROUNDDOWN(IF(G18&gt;55991,22532+(52%*(G18-55991)),(IF(G18&gt;33363,13029+(42%*(G18-33363)),(IF(G18&gt;19645,7268+(42%*(G18-19645)),37%*G18))))),0)</f>
        <v>79601</v>
      </c>
      <c r="H20" s="9"/>
      <c r="I20" s="3"/>
      <c r="J20" s="24"/>
      <c r="K20" s="30"/>
      <c r="L20" s="3">
        <f>ROUNDDOWN(IF(L18&gt;56531,22612+(52%*(L18-56531)),(IF(L18&gt;33363,12882+(42%*(L18-33363)),(IF(L18&gt;19645,7121+(42%*(L18-19645)),36.25%*L18))))),0)</f>
        <v>79400</v>
      </c>
      <c r="M20" s="9"/>
      <c r="N20" s="3"/>
      <c r="O20" s="26"/>
    </row>
    <row r="21" spans="2:15" x14ac:dyDescent="0.25">
      <c r="B21" s="25" t="s">
        <v>78</v>
      </c>
      <c r="C21" s="3"/>
      <c r="D21" s="3"/>
      <c r="E21" s="24"/>
      <c r="F21" s="25"/>
      <c r="G21" s="3">
        <v>-2001</v>
      </c>
      <c r="H21" s="9"/>
      <c r="I21" s="3"/>
      <c r="J21" s="24"/>
      <c r="K21" s="30"/>
      <c r="L21" s="3">
        <f>-IF(L18&lt;19645,2103,IF(L18&gt;56495,1366,2103-(0.02*(L18-19645))))</f>
        <v>-1366</v>
      </c>
      <c r="M21" s="9"/>
      <c r="N21" s="3"/>
      <c r="O21" s="26"/>
    </row>
    <row r="22" spans="2:15" x14ac:dyDescent="0.25">
      <c r="B22" s="25" t="s">
        <v>79</v>
      </c>
      <c r="C22" s="3"/>
      <c r="D22" s="3"/>
      <c r="E22" s="24"/>
      <c r="F22" s="25"/>
      <c r="G22" s="2">
        <v>-1723</v>
      </c>
      <c r="H22" s="9"/>
      <c r="I22" s="3"/>
      <c r="J22" s="24"/>
      <c r="K22" s="30"/>
      <c r="L22" s="2">
        <f>-IF(L18&gt;83971,367,IF(L18&gt;40721,(2097-(0.04*(L18-40721))),IF(L18&gt;19252,2097,IF(L18&gt;8913,(161+(0.18725*(L18-8913)))))))</f>
        <v>-367</v>
      </c>
      <c r="M22" s="9"/>
      <c r="N22" s="3"/>
      <c r="O22" s="26"/>
    </row>
    <row r="23" spans="2:15" x14ac:dyDescent="0.25">
      <c r="B23" s="25" t="s">
        <v>68</v>
      </c>
      <c r="C23" s="3"/>
      <c r="D23" s="3"/>
      <c r="E23" s="24"/>
      <c r="F23" s="25"/>
      <c r="G23" s="3">
        <f>SUM(G20:G22)</f>
        <v>75877</v>
      </c>
      <c r="H23" s="9"/>
      <c r="I23" s="3">
        <f>-G23</f>
        <v>-75877</v>
      </c>
      <c r="J23" s="24"/>
      <c r="K23" s="30"/>
      <c r="L23" s="3">
        <f>SUM(L20:L22)</f>
        <v>77667</v>
      </c>
      <c r="M23" s="3"/>
      <c r="N23" s="3">
        <f>-L23</f>
        <v>-77667</v>
      </c>
      <c r="O23" s="26"/>
    </row>
    <row r="24" spans="2:15" x14ac:dyDescent="0.25">
      <c r="B24" s="25"/>
      <c r="C24" s="3"/>
      <c r="D24" s="3"/>
      <c r="E24" s="24"/>
      <c r="F24" s="25"/>
      <c r="G24" s="3"/>
      <c r="H24" s="9"/>
      <c r="I24" s="3"/>
      <c r="J24" s="24"/>
      <c r="K24" s="30"/>
      <c r="L24" s="3"/>
      <c r="M24" s="3"/>
      <c r="N24" s="3"/>
      <c r="O24" s="26"/>
    </row>
    <row r="25" spans="2:15" ht="13.8" thickBot="1" x14ac:dyDescent="0.3">
      <c r="B25" s="25" t="s">
        <v>13</v>
      </c>
      <c r="C25" s="3"/>
      <c r="D25" s="3"/>
      <c r="E25" s="24"/>
      <c r="F25" s="25"/>
      <c r="G25" s="3"/>
      <c r="H25" s="9"/>
      <c r="I25" s="8">
        <f>SUM(I13:I23)</f>
        <v>124123</v>
      </c>
      <c r="J25" s="27"/>
      <c r="K25" s="30"/>
      <c r="L25" s="3"/>
      <c r="M25" s="3"/>
      <c r="N25" s="8">
        <f>SUM(N13:N23)</f>
        <v>122333</v>
      </c>
      <c r="O25" s="26"/>
    </row>
    <row r="26" spans="2:15" ht="13.8" thickTop="1" x14ac:dyDescent="0.25">
      <c r="B26" s="15"/>
      <c r="C26" s="2"/>
      <c r="D26" s="2"/>
      <c r="E26" s="16"/>
      <c r="F26" s="15"/>
      <c r="G26" s="2"/>
      <c r="H26" s="2"/>
      <c r="I26" s="2"/>
      <c r="J26" s="16"/>
      <c r="K26" s="20"/>
      <c r="L26" s="2"/>
      <c r="M26" s="2"/>
      <c r="N26" s="2"/>
      <c r="O26" s="2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L27" s="1"/>
      <c r="M27" s="1"/>
      <c r="N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L28" s="1"/>
      <c r="M28" s="1"/>
      <c r="N28" s="1"/>
    </row>
    <row r="29" spans="2:15" x14ac:dyDescent="0.25">
      <c r="B29" s="28"/>
      <c r="C29" s="32" t="s">
        <v>0</v>
      </c>
      <c r="D29" s="18"/>
      <c r="E29" s="23"/>
      <c r="F29" s="11"/>
      <c r="G29" s="18"/>
      <c r="H29" s="12">
        <v>2013</v>
      </c>
      <c r="I29" s="13"/>
      <c r="J29" s="14"/>
      <c r="K29" s="17"/>
      <c r="L29" s="13"/>
      <c r="M29" s="12">
        <v>2014</v>
      </c>
      <c r="N29" s="18"/>
      <c r="O29" s="19"/>
    </row>
    <row r="30" spans="2:15" x14ac:dyDescent="0.25">
      <c r="B30" s="15"/>
      <c r="C30" s="2"/>
      <c r="D30" s="2"/>
      <c r="E30" s="16"/>
      <c r="F30" s="15"/>
      <c r="G30" s="34" t="s">
        <v>12</v>
      </c>
      <c r="H30" s="2"/>
      <c r="I30" s="2" t="s">
        <v>11</v>
      </c>
      <c r="J30" s="16"/>
      <c r="K30" s="20"/>
      <c r="L30" s="34" t="s">
        <v>12</v>
      </c>
      <c r="M30" s="2"/>
      <c r="N30" s="2" t="s">
        <v>11</v>
      </c>
      <c r="O30" s="21"/>
    </row>
    <row r="31" spans="2:15" x14ac:dyDescent="0.25">
      <c r="B31" s="11" t="s">
        <v>18</v>
      </c>
      <c r="C31" s="18"/>
      <c r="D31" s="18"/>
      <c r="E31" s="23"/>
      <c r="F31" s="11"/>
      <c r="G31" s="29">
        <f>E5</f>
        <v>200000</v>
      </c>
      <c r="H31" s="22"/>
      <c r="I31" s="18"/>
      <c r="J31" s="23"/>
      <c r="K31" s="28"/>
      <c r="L31" s="29">
        <f>E5</f>
        <v>200000</v>
      </c>
      <c r="M31" s="22"/>
      <c r="N31" s="18"/>
      <c r="O31" s="19"/>
    </row>
    <row r="32" spans="2:15" x14ac:dyDescent="0.25">
      <c r="B32" s="25" t="s">
        <v>19</v>
      </c>
      <c r="C32" s="3"/>
      <c r="D32" s="3" t="s">
        <v>71</v>
      </c>
      <c r="E32" s="24"/>
      <c r="F32" s="25"/>
      <c r="G32" s="2">
        <f>-IF(G31&gt;E6,E6,G31)</f>
        <v>-80000</v>
      </c>
      <c r="H32" s="9"/>
      <c r="I32" s="3"/>
      <c r="J32" s="24"/>
      <c r="K32" s="30"/>
      <c r="L32" s="2">
        <f>-IF(L31&gt;E6,E6,L31)</f>
        <v>-80000</v>
      </c>
      <c r="M32" s="9"/>
      <c r="N32" s="3"/>
      <c r="O32" s="26"/>
    </row>
    <row r="33" spans="2:15" x14ac:dyDescent="0.25">
      <c r="B33" s="25" t="s">
        <v>20</v>
      </c>
      <c r="C33" s="3"/>
      <c r="D33" s="3"/>
      <c r="E33" s="24"/>
      <c r="F33" s="25"/>
      <c r="G33" s="3">
        <f>SUM(G31:G32)</f>
        <v>120000</v>
      </c>
      <c r="H33" s="9"/>
      <c r="I33" s="3">
        <f>G33</f>
        <v>120000</v>
      </c>
      <c r="J33" s="24"/>
      <c r="K33" s="30"/>
      <c r="L33" s="3">
        <f>SUM(L31:L32)</f>
        <v>120000</v>
      </c>
      <c r="M33" s="9"/>
      <c r="N33" s="3">
        <f>L33</f>
        <v>120000</v>
      </c>
      <c r="O33" s="26"/>
    </row>
    <row r="34" spans="2:15" x14ac:dyDescent="0.25">
      <c r="B34" s="30"/>
      <c r="C34" s="3"/>
      <c r="D34" s="3"/>
      <c r="E34" s="24"/>
      <c r="F34" s="25"/>
      <c r="G34" s="10"/>
      <c r="H34" s="3"/>
      <c r="I34" s="3"/>
      <c r="J34" s="24"/>
      <c r="K34" s="25"/>
      <c r="L34" s="10"/>
      <c r="M34" s="3"/>
      <c r="N34" s="3"/>
      <c r="O34" s="26"/>
    </row>
    <row r="35" spans="2:15" x14ac:dyDescent="0.25">
      <c r="B35" s="25" t="s">
        <v>15</v>
      </c>
      <c r="C35" s="3"/>
      <c r="D35" s="3"/>
      <c r="E35" s="24"/>
      <c r="F35" s="25"/>
      <c r="G35" s="2">
        <f>-IF(G33&gt;200000,((G33-200000)*0.25)+40000,G33*0.2)</f>
        <v>-24000</v>
      </c>
      <c r="H35" s="9"/>
      <c r="I35" s="3">
        <f>G35</f>
        <v>-24000</v>
      </c>
      <c r="J35" s="24"/>
      <c r="K35" s="30"/>
      <c r="L35" s="2">
        <f>-IF(L33&gt;200000,((L33-200000)*0.25)+40000,L33*0.2)</f>
        <v>-24000</v>
      </c>
      <c r="M35" s="9"/>
      <c r="N35" s="3">
        <f>L35</f>
        <v>-24000</v>
      </c>
      <c r="O35" s="26"/>
    </row>
    <row r="36" spans="2:15" x14ac:dyDescent="0.25">
      <c r="B36" s="25" t="s">
        <v>14</v>
      </c>
      <c r="C36" s="3"/>
      <c r="D36" s="3"/>
      <c r="E36" s="24"/>
      <c r="F36" s="25"/>
      <c r="G36" s="10">
        <f>SUM(G33:G35)</f>
        <v>96000</v>
      </c>
      <c r="H36" s="9"/>
      <c r="I36" s="3"/>
      <c r="J36" s="24"/>
      <c r="K36" s="30"/>
      <c r="L36" s="10">
        <f>SUM(L33:L35)</f>
        <v>96000</v>
      </c>
      <c r="M36" s="9"/>
      <c r="N36" s="3"/>
      <c r="O36" s="26"/>
    </row>
    <row r="37" spans="2:15" x14ac:dyDescent="0.25">
      <c r="B37" s="25" t="s">
        <v>16</v>
      </c>
      <c r="C37" s="3"/>
      <c r="D37" s="31">
        <f>E7</f>
        <v>0.21</v>
      </c>
      <c r="E37" s="24"/>
      <c r="F37" s="25"/>
      <c r="G37" s="3">
        <f>G36*E7</f>
        <v>20160</v>
      </c>
      <c r="H37" s="9"/>
      <c r="I37" s="3">
        <f>-G37</f>
        <v>-20160</v>
      </c>
      <c r="J37" s="24"/>
      <c r="K37" s="30"/>
      <c r="L37" s="3">
        <f>L36*E7</f>
        <v>20160</v>
      </c>
      <c r="M37" s="9"/>
      <c r="N37" s="3">
        <f>-L37</f>
        <v>-20160</v>
      </c>
      <c r="O37" s="26"/>
    </row>
    <row r="38" spans="2:15" x14ac:dyDescent="0.25">
      <c r="B38" s="25"/>
      <c r="C38" s="3"/>
      <c r="D38" s="3"/>
      <c r="E38" s="24"/>
      <c r="F38" s="25"/>
      <c r="G38" s="3"/>
      <c r="H38" s="9"/>
      <c r="I38" s="3"/>
      <c r="J38" s="24"/>
      <c r="K38" s="30"/>
      <c r="L38" s="3"/>
      <c r="M38" s="9"/>
      <c r="N38" s="3"/>
      <c r="O38" s="26"/>
    </row>
    <row r="39" spans="2:15" x14ac:dyDescent="0.25">
      <c r="B39" s="25"/>
      <c r="C39" s="3"/>
      <c r="D39" s="3"/>
      <c r="E39" s="24"/>
      <c r="F39" s="25"/>
      <c r="G39" s="4"/>
      <c r="H39" s="9"/>
      <c r="I39" s="3"/>
      <c r="J39" s="24"/>
      <c r="K39" s="30"/>
      <c r="L39" s="4"/>
      <c r="M39" s="9"/>
      <c r="N39" s="3"/>
      <c r="O39" s="26"/>
    </row>
    <row r="40" spans="2:15" x14ac:dyDescent="0.25">
      <c r="B40" s="25" t="s">
        <v>21</v>
      </c>
      <c r="C40" s="3"/>
      <c r="D40" s="3"/>
      <c r="E40" s="24"/>
      <c r="F40" s="25"/>
      <c r="G40" s="3">
        <f>-G32</f>
        <v>80000</v>
      </c>
      <c r="H40" s="9"/>
      <c r="I40" s="3">
        <f>G40</f>
        <v>80000</v>
      </c>
      <c r="J40" s="24"/>
      <c r="K40" s="30"/>
      <c r="L40" s="3">
        <f>-L32</f>
        <v>80000</v>
      </c>
      <c r="M40" s="9"/>
      <c r="N40" s="3">
        <f>L40</f>
        <v>80000</v>
      </c>
      <c r="O40" s="26"/>
    </row>
    <row r="41" spans="2:15" x14ac:dyDescent="0.25">
      <c r="B41" s="25"/>
      <c r="C41" s="3"/>
      <c r="D41" s="3"/>
      <c r="E41" s="24"/>
      <c r="F41" s="25"/>
      <c r="G41" s="3"/>
      <c r="H41" s="9"/>
      <c r="I41" s="3"/>
      <c r="J41" s="24"/>
      <c r="K41" s="30"/>
      <c r="L41" s="3"/>
      <c r="M41" s="9"/>
      <c r="N41" s="3"/>
      <c r="O41" s="26"/>
    </row>
    <row r="42" spans="2:15" x14ac:dyDescent="0.25">
      <c r="B42" s="25" t="s">
        <v>67</v>
      </c>
      <c r="C42" s="3"/>
      <c r="D42" s="3"/>
      <c r="E42" s="24"/>
      <c r="F42" s="25"/>
      <c r="G42" s="3">
        <f>ROUNDDOWN(IF(G40&gt;55991,22532+(52%*(G40-55991)),(IF(G40&gt;33363,13029+(42%*(G40-33363)),(IF(G40&gt;19645,7268+(42%*(G40-19645)),37%*G40))))),0)</f>
        <v>35016</v>
      </c>
      <c r="H42" s="9"/>
      <c r="I42" s="3"/>
      <c r="J42" s="24"/>
      <c r="K42" s="30"/>
      <c r="L42" s="3">
        <f>ROUNDDOWN(IF(L40&gt;56531,22612+(52%*(L40-56531)),(IF(L40&gt;33363,12882+(42%*(L40-33363)),(IF(L40&gt;19645,71210+(42%*(L40-19645)),36.25%*L40))))),0)</f>
        <v>34815</v>
      </c>
      <c r="M42" s="9"/>
      <c r="N42" s="3"/>
      <c r="O42" s="26"/>
    </row>
    <row r="43" spans="2:15" x14ac:dyDescent="0.25">
      <c r="B43" s="25" t="s">
        <v>80</v>
      </c>
      <c r="C43" s="3"/>
      <c r="D43" s="3"/>
      <c r="E43" s="24"/>
      <c r="F43" s="25"/>
      <c r="G43" s="3">
        <f>G21</f>
        <v>-2001</v>
      </c>
      <c r="H43" s="9"/>
      <c r="I43" s="3"/>
      <c r="J43" s="24"/>
      <c r="K43" s="30"/>
      <c r="L43" s="3">
        <f>-IF(L40&lt;19645,2103,IF(L40&gt;56495,1366,2103-(0.02*(L40-19645))))</f>
        <v>-1366</v>
      </c>
      <c r="M43" s="9"/>
      <c r="N43" s="3"/>
      <c r="O43" s="26"/>
    </row>
    <row r="44" spans="2:15" x14ac:dyDescent="0.25">
      <c r="B44" s="25" t="s">
        <v>81</v>
      </c>
      <c r="C44" s="3"/>
      <c r="D44" s="3"/>
      <c r="E44" s="24"/>
      <c r="F44" s="25"/>
      <c r="G44" s="2">
        <f>G22</f>
        <v>-1723</v>
      </c>
      <c r="H44" s="9"/>
      <c r="I44" s="3"/>
      <c r="J44" s="24"/>
      <c r="K44" s="30"/>
      <c r="L44" s="2">
        <f>-IF(L40&gt;83971,367,IF(L40&gt;40721,(2097-(0.04*(L40-40721))),IF(L40&gt;19252,2097,IF(L40&gt;8913,(161+(0.18725*(L40-8913)))))))</f>
        <v>-525.83999999999992</v>
      </c>
      <c r="M44" s="9"/>
      <c r="N44" s="3"/>
      <c r="O44" s="26"/>
    </row>
    <row r="45" spans="2:15" x14ac:dyDescent="0.25">
      <c r="B45" s="25" t="s">
        <v>68</v>
      </c>
      <c r="C45" s="3"/>
      <c r="D45" s="3"/>
      <c r="E45" s="24"/>
      <c r="F45" s="25"/>
      <c r="G45" s="3">
        <f>SUM(G42:G44)</f>
        <v>31292</v>
      </c>
      <c r="H45" s="3"/>
      <c r="I45" s="3">
        <f>-G45</f>
        <v>-31292</v>
      </c>
      <c r="J45" s="24"/>
      <c r="K45" s="30"/>
      <c r="L45" s="3">
        <f>SUM(L42:L44)</f>
        <v>32923.160000000003</v>
      </c>
      <c r="M45" s="3"/>
      <c r="N45" s="3">
        <f>-L45</f>
        <v>-32923.160000000003</v>
      </c>
      <c r="O45" s="26"/>
    </row>
    <row r="46" spans="2:15" x14ac:dyDescent="0.25">
      <c r="B46" s="25"/>
      <c r="C46" s="3"/>
      <c r="D46" s="3"/>
      <c r="E46" s="24"/>
      <c r="F46" s="25"/>
      <c r="G46" s="3"/>
      <c r="H46" s="3"/>
      <c r="I46" s="3"/>
      <c r="J46" s="24"/>
      <c r="K46" s="30"/>
      <c r="L46" s="3"/>
      <c r="M46" s="3"/>
      <c r="N46" s="3"/>
      <c r="O46" s="26"/>
    </row>
    <row r="47" spans="2:15" x14ac:dyDescent="0.25">
      <c r="B47" s="25"/>
      <c r="C47" s="3"/>
      <c r="D47" s="3"/>
      <c r="E47" s="24"/>
      <c r="F47" s="25"/>
      <c r="G47" s="3"/>
      <c r="H47" s="3"/>
      <c r="I47" s="3"/>
      <c r="J47" s="24"/>
      <c r="K47" s="30"/>
      <c r="L47" s="3"/>
      <c r="M47" s="3"/>
      <c r="N47" s="3"/>
      <c r="O47" s="26"/>
    </row>
    <row r="48" spans="2:15" ht="13.8" thickBot="1" x14ac:dyDescent="0.3">
      <c r="B48" s="25" t="s">
        <v>13</v>
      </c>
      <c r="C48" s="3"/>
      <c r="D48" s="3"/>
      <c r="E48" s="24"/>
      <c r="F48" s="25"/>
      <c r="G48" s="3"/>
      <c r="H48" s="3"/>
      <c r="I48" s="8">
        <f>SUM(I31:I46)</f>
        <v>124548</v>
      </c>
      <c r="J48" s="27"/>
      <c r="K48" s="30"/>
      <c r="L48" s="3"/>
      <c r="M48" s="3"/>
      <c r="N48" s="8">
        <f>SUM(N31:N46)</f>
        <v>122916.84</v>
      </c>
      <c r="O48" s="26"/>
    </row>
    <row r="49" spans="2:15" ht="13.8" thickTop="1" x14ac:dyDescent="0.25">
      <c r="B49" s="15"/>
      <c r="C49" s="2"/>
      <c r="D49" s="2"/>
      <c r="E49" s="16"/>
      <c r="F49" s="15"/>
      <c r="G49" s="2"/>
      <c r="H49" s="5"/>
      <c r="I49" s="5"/>
      <c r="J49" s="21"/>
      <c r="K49" s="15"/>
      <c r="L49" s="2"/>
      <c r="M49" s="5"/>
      <c r="N49" s="5"/>
      <c r="O49" s="21"/>
    </row>
    <row r="50" spans="2:15" x14ac:dyDescent="0.25"/>
    <row r="51" spans="2:15" x14ac:dyDescent="0.25">
      <c r="B51" s="37"/>
    </row>
    <row r="52" spans="2:15" x14ac:dyDescent="0.25">
      <c r="B52" s="35" t="s">
        <v>1</v>
      </c>
      <c r="G52" s="7"/>
    </row>
    <row r="53" spans="2:15" x14ac:dyDescent="0.25">
      <c r="C53" t="s">
        <v>2</v>
      </c>
      <c r="I53" s="1">
        <f>I13</f>
        <v>200000</v>
      </c>
      <c r="N53" s="6">
        <f>N13</f>
        <v>200000</v>
      </c>
    </row>
    <row r="54" spans="2:15" x14ac:dyDescent="0.25">
      <c r="C54" t="s">
        <v>3</v>
      </c>
      <c r="I54" s="1">
        <f>I25</f>
        <v>124123</v>
      </c>
      <c r="N54" s="1">
        <f>N25</f>
        <v>122333</v>
      </c>
    </row>
    <row r="55" spans="2:15" x14ac:dyDescent="0.25">
      <c r="C55" t="s">
        <v>4</v>
      </c>
      <c r="I55" s="1">
        <f>I48</f>
        <v>124548</v>
      </c>
      <c r="N55" s="1">
        <f>N48</f>
        <v>122916.84</v>
      </c>
    </row>
    <row r="56" spans="2:15" x14ac:dyDescent="0.25"/>
    <row r="57" spans="2:15" x14ac:dyDescent="0.25">
      <c r="C57" t="s">
        <v>5</v>
      </c>
      <c r="I57" s="1">
        <f>I55-I54</f>
        <v>425</v>
      </c>
      <c r="N57" s="1">
        <f>N55-N54</f>
        <v>583.83999999999651</v>
      </c>
    </row>
    <row r="58" spans="2:15" x14ac:dyDescent="0.25"/>
  </sheetData>
  <phoneticPr fontId="0" type="noConversion"/>
  <pageMargins left="0.75" right="0.75" top="1" bottom="1" header="0.5" footer="0.5"/>
  <pageSetup paperSize="9" scale="78" orientation="portrait" horizontalDpi="4294967293" r:id="rId1"/>
  <headerFooter alignWithMargins="0">
    <oddFooter>&amp;L&amp;8Omslagpunt eenmanszaak of BV, E.124, 16-01-2014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showGridLines="0" zoomScaleNormal="100" workbookViewId="0"/>
  </sheetViews>
  <sheetFormatPr defaultColWidth="0" defaultRowHeight="13.2" zeroHeight="1" x14ac:dyDescent="0.25"/>
  <cols>
    <col min="1" max="1" width="1.6640625" style="1" customWidth="1"/>
    <col min="2" max="2" width="20.88671875" style="1" customWidth="1"/>
    <col min="3" max="8" width="6.5546875" style="39" bestFit="1" customWidth="1"/>
    <col min="9" max="9" width="7.5546875" style="39" bestFit="1" customWidth="1"/>
    <col min="10" max="18" width="6.5546875" style="39" bestFit="1" customWidth="1"/>
    <col min="19" max="23" width="6.5546875" style="39" hidden="1" customWidth="1"/>
    <col min="24" max="26" width="0" style="39" hidden="1" customWidth="1"/>
    <col min="27" max="16384" width="0" style="1" hidden="1"/>
  </cols>
  <sheetData>
    <row r="1" spans="1:256" s="49" customFormat="1" x14ac:dyDescent="0.25">
      <c r="A1" s="36" t="s">
        <v>24</v>
      </c>
    </row>
    <row r="2" spans="1:256" s="49" customFormat="1" x14ac:dyDescent="0.25">
      <c r="A2" s="1"/>
    </row>
    <row r="3" spans="1:256" s="49" customFormat="1" x14ac:dyDescent="0.25">
      <c r="A3" s="1"/>
      <c r="B3" s="36" t="s">
        <v>6</v>
      </c>
    </row>
    <row r="4" spans="1:256" s="49" customFormat="1" x14ac:dyDescent="0.25">
      <c r="A4" s="1"/>
      <c r="B4" s="49" t="s">
        <v>25</v>
      </c>
      <c r="I4" s="57">
        <v>100000</v>
      </c>
    </row>
    <row r="5" spans="1:256" s="49" customFormat="1" x14ac:dyDescent="0.25">
      <c r="A5" s="1"/>
      <c r="B5" s="49" t="s">
        <v>26</v>
      </c>
      <c r="I5" s="58">
        <v>0.25</v>
      </c>
    </row>
    <row r="6" spans="1:256" s="49" customFormat="1" x14ac:dyDescent="0.25">
      <c r="A6" s="1"/>
      <c r="B6" s="49" t="s">
        <v>27</v>
      </c>
      <c r="I6" s="57">
        <v>20</v>
      </c>
      <c r="J6" s="50"/>
    </row>
    <row r="7" spans="1:256" s="49" customFormat="1" x14ac:dyDescent="0.25">
      <c r="A7" s="1"/>
      <c r="B7" s="49" t="s">
        <v>28</v>
      </c>
      <c r="I7" s="58">
        <v>0.04</v>
      </c>
    </row>
    <row r="8" spans="1:256" s="49" customFormat="1" x14ac:dyDescent="0.25">
      <c r="A8" s="1"/>
      <c r="B8" s="49" t="s">
        <v>29</v>
      </c>
      <c r="I8" s="58">
        <v>0.04</v>
      </c>
    </row>
    <row r="9" spans="1:256" s="49" customFormat="1" x14ac:dyDescent="0.25">
      <c r="A9" s="1"/>
      <c r="B9" s="49" t="s">
        <v>30</v>
      </c>
      <c r="I9" s="58">
        <v>0.2</v>
      </c>
    </row>
    <row r="10" spans="1:256" s="49" customFormat="1" x14ac:dyDescent="0.25">
      <c r="A10" s="1"/>
    </row>
    <row r="11" spans="1:256" s="49" customFormat="1" x14ac:dyDescent="0.25">
      <c r="A11" s="1"/>
      <c r="B11" s="39"/>
      <c r="C11" s="38">
        <v>2013</v>
      </c>
      <c r="D11" s="38">
        <v>2014</v>
      </c>
      <c r="E11" s="38">
        <v>2015</v>
      </c>
      <c r="F11" s="38">
        <v>2016</v>
      </c>
      <c r="G11" s="38">
        <v>2017</v>
      </c>
      <c r="H11" s="38">
        <v>2018</v>
      </c>
      <c r="I11" s="38">
        <v>2019</v>
      </c>
      <c r="J11" s="38">
        <v>2020</v>
      </c>
      <c r="K11" s="38">
        <v>2021</v>
      </c>
      <c r="L11" s="38">
        <v>2022</v>
      </c>
      <c r="M11" s="38">
        <v>2023</v>
      </c>
      <c r="N11" s="38">
        <v>2024</v>
      </c>
      <c r="O11" s="38">
        <v>2025</v>
      </c>
      <c r="P11" s="38">
        <v>2026</v>
      </c>
      <c r="Q11" s="38">
        <v>2027</v>
      </c>
      <c r="R11" s="38">
        <v>2028</v>
      </c>
      <c r="S11" s="51">
        <v>2028</v>
      </c>
      <c r="T11" s="51">
        <v>2029</v>
      </c>
      <c r="U11" s="51">
        <v>2030</v>
      </c>
      <c r="V11" s="51">
        <v>2031</v>
      </c>
      <c r="W11" s="51">
        <v>2032</v>
      </c>
      <c r="X11" s="51">
        <v>2033</v>
      </c>
      <c r="Y11" s="51">
        <v>2034</v>
      </c>
      <c r="Z11" s="51">
        <v>2035</v>
      </c>
      <c r="AA11" s="51">
        <v>2036</v>
      </c>
      <c r="AB11" s="51">
        <v>2037</v>
      </c>
      <c r="AC11" s="51">
        <v>2038</v>
      </c>
      <c r="AD11" s="51">
        <v>2039</v>
      </c>
      <c r="AE11" s="51">
        <v>2040</v>
      </c>
      <c r="AF11" s="51">
        <v>2041</v>
      </c>
      <c r="AG11" s="51">
        <v>2042</v>
      </c>
      <c r="AH11" s="51">
        <v>2043</v>
      </c>
      <c r="AI11" s="51">
        <v>2044</v>
      </c>
      <c r="AJ11" s="51">
        <v>2045</v>
      </c>
      <c r="AK11" s="51">
        <v>2046</v>
      </c>
      <c r="AL11" s="51">
        <v>2047</v>
      </c>
      <c r="AM11" s="51">
        <v>2048</v>
      </c>
      <c r="AN11" s="51">
        <v>2049</v>
      </c>
      <c r="AO11" s="51">
        <v>2050</v>
      </c>
      <c r="AP11" s="51">
        <v>2051</v>
      </c>
      <c r="AQ11" s="51">
        <v>2052</v>
      </c>
      <c r="AR11" s="51">
        <v>2053</v>
      </c>
      <c r="AS11" s="51">
        <v>2054</v>
      </c>
      <c r="AT11" s="51">
        <v>2055</v>
      </c>
      <c r="AU11" s="51">
        <v>2056</v>
      </c>
      <c r="AV11" s="51">
        <v>2057</v>
      </c>
      <c r="AW11" s="51">
        <v>2058</v>
      </c>
      <c r="AX11" s="51">
        <v>2059</v>
      </c>
      <c r="AY11" s="51">
        <v>2060</v>
      </c>
      <c r="AZ11" s="51">
        <v>2061</v>
      </c>
      <c r="BA11" s="51">
        <v>2062</v>
      </c>
      <c r="BB11" s="51">
        <v>2063</v>
      </c>
      <c r="BC11" s="51">
        <v>2064</v>
      </c>
      <c r="BD11" s="51">
        <v>2065</v>
      </c>
      <c r="BE11" s="51">
        <v>2066</v>
      </c>
      <c r="BF11" s="51">
        <v>2067</v>
      </c>
      <c r="BG11" s="51">
        <v>2068</v>
      </c>
      <c r="BH11" s="51">
        <v>2069</v>
      </c>
      <c r="BI11" s="51">
        <v>2070</v>
      </c>
      <c r="BJ11" s="51">
        <v>2071</v>
      </c>
      <c r="BK11" s="51">
        <v>2072</v>
      </c>
      <c r="BL11" s="51">
        <v>2073</v>
      </c>
      <c r="BM11" s="51">
        <v>2074</v>
      </c>
      <c r="BN11" s="51">
        <v>2075</v>
      </c>
      <c r="BO11" s="51">
        <v>2076</v>
      </c>
      <c r="BP11" s="51">
        <v>2077</v>
      </c>
      <c r="BQ11" s="51">
        <v>2078</v>
      </c>
      <c r="BR11" s="51">
        <v>2079</v>
      </c>
      <c r="BS11" s="51">
        <v>2080</v>
      </c>
      <c r="BT11" s="51">
        <v>2081</v>
      </c>
      <c r="BU11" s="51">
        <v>2082</v>
      </c>
      <c r="BV11" s="51">
        <v>2083</v>
      </c>
      <c r="BW11" s="51">
        <v>2084</v>
      </c>
      <c r="BX11" s="51">
        <v>2085</v>
      </c>
      <c r="BY11" s="51">
        <v>2086</v>
      </c>
      <c r="BZ11" s="51">
        <v>2087</v>
      </c>
      <c r="CA11" s="51">
        <v>2088</v>
      </c>
      <c r="CB11" s="51">
        <v>2089</v>
      </c>
      <c r="CC11" s="51">
        <v>2090</v>
      </c>
      <c r="CD11" s="51">
        <v>2091</v>
      </c>
      <c r="CE11" s="51">
        <v>2092</v>
      </c>
      <c r="CF11" s="51">
        <v>2093</v>
      </c>
      <c r="CG11" s="51">
        <v>2094</v>
      </c>
      <c r="CH11" s="51">
        <v>2095</v>
      </c>
      <c r="CI11" s="51">
        <v>2096</v>
      </c>
      <c r="CJ11" s="51">
        <v>2097</v>
      </c>
      <c r="CK11" s="51">
        <v>2098</v>
      </c>
      <c r="CL11" s="51">
        <v>2099</v>
      </c>
      <c r="CM11" s="51">
        <v>2100</v>
      </c>
      <c r="CN11" s="51">
        <v>2101</v>
      </c>
      <c r="CO11" s="51">
        <v>2102</v>
      </c>
      <c r="CP11" s="51">
        <v>2103</v>
      </c>
      <c r="CQ11" s="51">
        <v>2104</v>
      </c>
      <c r="CR11" s="51">
        <v>2105</v>
      </c>
      <c r="CS11" s="51">
        <v>2106</v>
      </c>
      <c r="CT11" s="51">
        <v>2107</v>
      </c>
      <c r="CU11" s="51">
        <v>2108</v>
      </c>
      <c r="CV11" s="51">
        <v>2109</v>
      </c>
      <c r="CW11" s="51">
        <v>2110</v>
      </c>
      <c r="CX11" s="51">
        <v>2111</v>
      </c>
      <c r="CY11" s="51">
        <v>2112</v>
      </c>
      <c r="CZ11" s="51">
        <v>2113</v>
      </c>
      <c r="DA11" s="51">
        <v>2114</v>
      </c>
      <c r="DB11" s="51">
        <v>2115</v>
      </c>
      <c r="DC11" s="51">
        <v>2116</v>
      </c>
      <c r="DD11" s="51">
        <v>2117</v>
      </c>
      <c r="DE11" s="51">
        <v>2118</v>
      </c>
      <c r="DF11" s="51">
        <v>2119</v>
      </c>
      <c r="DG11" s="51">
        <v>2120</v>
      </c>
      <c r="DH11" s="51">
        <v>2121</v>
      </c>
      <c r="DI11" s="51">
        <v>2122</v>
      </c>
      <c r="DJ11" s="51">
        <v>2123</v>
      </c>
      <c r="DK11" s="51">
        <v>2124</v>
      </c>
      <c r="DL11" s="51">
        <v>2125</v>
      </c>
      <c r="DM11" s="51">
        <v>2126</v>
      </c>
      <c r="DN11" s="51">
        <v>2127</v>
      </c>
      <c r="DO11" s="51">
        <v>2128</v>
      </c>
      <c r="DP11" s="51">
        <v>2129</v>
      </c>
      <c r="DQ11" s="51">
        <v>2130</v>
      </c>
      <c r="DR11" s="51">
        <v>2131</v>
      </c>
      <c r="DS11" s="51">
        <v>2132</v>
      </c>
      <c r="DT11" s="51">
        <v>2133</v>
      </c>
      <c r="DU11" s="51">
        <v>2134</v>
      </c>
      <c r="DV11" s="51">
        <v>2135</v>
      </c>
      <c r="DW11" s="51">
        <v>2136</v>
      </c>
      <c r="DX11" s="51">
        <v>2137</v>
      </c>
      <c r="DY11" s="51">
        <v>2138</v>
      </c>
      <c r="DZ11" s="51">
        <v>2139</v>
      </c>
      <c r="EA11" s="51">
        <v>2140</v>
      </c>
      <c r="EB11" s="51">
        <v>2141</v>
      </c>
      <c r="EC11" s="51">
        <v>2142</v>
      </c>
      <c r="ED11" s="51">
        <v>2143</v>
      </c>
      <c r="EE11" s="51">
        <v>2144</v>
      </c>
      <c r="EF11" s="51">
        <v>2145</v>
      </c>
      <c r="EG11" s="51">
        <v>2146</v>
      </c>
      <c r="EH11" s="51">
        <v>2147</v>
      </c>
      <c r="EI11" s="51">
        <v>2148</v>
      </c>
      <c r="EJ11" s="51">
        <v>2149</v>
      </c>
      <c r="EK11" s="51">
        <v>2150</v>
      </c>
      <c r="EL11" s="51">
        <v>2151</v>
      </c>
      <c r="EM11" s="51">
        <v>2152</v>
      </c>
      <c r="EN11" s="51">
        <v>2153</v>
      </c>
      <c r="EO11" s="51">
        <v>2154</v>
      </c>
      <c r="EP11" s="51">
        <v>2155</v>
      </c>
      <c r="EQ11" s="51">
        <v>2156</v>
      </c>
      <c r="ER11" s="51">
        <v>2157</v>
      </c>
      <c r="ES11" s="51">
        <v>2158</v>
      </c>
      <c r="ET11" s="51">
        <v>2159</v>
      </c>
      <c r="EU11" s="51">
        <v>2160</v>
      </c>
      <c r="EV11" s="51">
        <v>2161</v>
      </c>
      <c r="EW11" s="51">
        <v>2162</v>
      </c>
      <c r="EX11" s="51">
        <v>2163</v>
      </c>
      <c r="EY11" s="51">
        <v>2164</v>
      </c>
      <c r="EZ11" s="51">
        <v>2165</v>
      </c>
      <c r="FA11" s="51">
        <v>2166</v>
      </c>
      <c r="FB11" s="51">
        <v>2167</v>
      </c>
      <c r="FC11" s="51">
        <v>2168</v>
      </c>
      <c r="FD11" s="51">
        <v>2169</v>
      </c>
      <c r="FE11" s="51">
        <v>2170</v>
      </c>
      <c r="FF11" s="51">
        <v>2171</v>
      </c>
      <c r="FG11" s="51">
        <v>2172</v>
      </c>
      <c r="FH11" s="51">
        <v>2173</v>
      </c>
      <c r="FI11" s="51">
        <v>2174</v>
      </c>
      <c r="FJ11" s="51">
        <v>2175</v>
      </c>
      <c r="FK11" s="51">
        <v>2176</v>
      </c>
      <c r="FL11" s="51">
        <v>2177</v>
      </c>
      <c r="FM11" s="51">
        <v>2178</v>
      </c>
      <c r="FN11" s="51">
        <v>2179</v>
      </c>
      <c r="FO11" s="51">
        <v>2180</v>
      </c>
      <c r="FP11" s="51">
        <v>2181</v>
      </c>
      <c r="FQ11" s="51">
        <v>2182</v>
      </c>
      <c r="FR11" s="51">
        <v>2183</v>
      </c>
      <c r="FS11" s="51">
        <v>2184</v>
      </c>
      <c r="FT11" s="51">
        <v>2185</v>
      </c>
      <c r="FU11" s="51">
        <v>2186</v>
      </c>
      <c r="FV11" s="51">
        <v>2187</v>
      </c>
      <c r="FW11" s="51">
        <v>2188</v>
      </c>
      <c r="FX11" s="51">
        <v>2189</v>
      </c>
      <c r="FY11" s="51">
        <v>2190</v>
      </c>
      <c r="FZ11" s="51">
        <v>2191</v>
      </c>
      <c r="GA11" s="51">
        <v>2192</v>
      </c>
      <c r="GB11" s="51">
        <v>2193</v>
      </c>
      <c r="GC11" s="51">
        <v>2194</v>
      </c>
      <c r="GD11" s="51">
        <v>2195</v>
      </c>
      <c r="GE11" s="51">
        <v>2196</v>
      </c>
      <c r="GF11" s="51">
        <v>2197</v>
      </c>
      <c r="GG11" s="51">
        <v>2198</v>
      </c>
      <c r="GH11" s="51">
        <v>2199</v>
      </c>
      <c r="GI11" s="51">
        <v>2200</v>
      </c>
      <c r="GJ11" s="51">
        <v>2201</v>
      </c>
      <c r="GK11" s="51">
        <v>2202</v>
      </c>
      <c r="GL11" s="51">
        <v>2203</v>
      </c>
      <c r="GM11" s="51">
        <v>2204</v>
      </c>
      <c r="GN11" s="51">
        <v>2205</v>
      </c>
      <c r="GO11" s="51">
        <v>2206</v>
      </c>
      <c r="GP11" s="51">
        <v>2207</v>
      </c>
      <c r="GQ11" s="51">
        <v>2208</v>
      </c>
      <c r="GR11" s="51">
        <v>2209</v>
      </c>
      <c r="GS11" s="51">
        <v>2210</v>
      </c>
      <c r="GT11" s="51">
        <v>2211</v>
      </c>
      <c r="GU11" s="51">
        <v>2212</v>
      </c>
      <c r="GV11" s="51">
        <v>2213</v>
      </c>
      <c r="GW11" s="51">
        <v>2214</v>
      </c>
      <c r="GX11" s="51">
        <v>2215</v>
      </c>
      <c r="GY11" s="51">
        <v>2216</v>
      </c>
      <c r="GZ11" s="51">
        <v>2217</v>
      </c>
      <c r="HA11" s="51">
        <v>2218</v>
      </c>
      <c r="HB11" s="51">
        <v>2219</v>
      </c>
      <c r="HC11" s="51">
        <v>2220</v>
      </c>
      <c r="HD11" s="51">
        <v>2221</v>
      </c>
      <c r="HE11" s="51">
        <v>2222</v>
      </c>
      <c r="HF11" s="51">
        <v>2223</v>
      </c>
      <c r="HG11" s="51">
        <v>2224</v>
      </c>
      <c r="HH11" s="51">
        <v>2225</v>
      </c>
      <c r="HI11" s="51">
        <v>2226</v>
      </c>
      <c r="HJ11" s="51">
        <v>2227</v>
      </c>
      <c r="HK11" s="51">
        <v>2228</v>
      </c>
      <c r="HL11" s="51">
        <v>2229</v>
      </c>
      <c r="HM11" s="51">
        <v>2230</v>
      </c>
      <c r="HN11" s="51">
        <v>2231</v>
      </c>
      <c r="HO11" s="51">
        <v>2232</v>
      </c>
      <c r="HP11" s="51">
        <v>2233</v>
      </c>
      <c r="HQ11" s="51">
        <v>2234</v>
      </c>
      <c r="HR11" s="51">
        <v>2235</v>
      </c>
      <c r="HS11" s="51">
        <v>2236</v>
      </c>
      <c r="HT11" s="51">
        <v>2237</v>
      </c>
      <c r="HU11" s="51">
        <v>2238</v>
      </c>
      <c r="HV11" s="51">
        <v>2239</v>
      </c>
      <c r="HW11" s="51">
        <v>2240</v>
      </c>
      <c r="HX11" s="51">
        <v>2241</v>
      </c>
      <c r="HY11" s="51">
        <v>2242</v>
      </c>
      <c r="HZ11" s="51">
        <v>2243</v>
      </c>
      <c r="IA11" s="51">
        <v>2244</v>
      </c>
      <c r="IB11" s="51">
        <v>2245</v>
      </c>
      <c r="IC11" s="51">
        <v>2246</v>
      </c>
      <c r="ID11" s="51">
        <v>2247</v>
      </c>
      <c r="IE11" s="51">
        <v>2248</v>
      </c>
      <c r="IF11" s="51">
        <v>2249</v>
      </c>
      <c r="IG11" s="51">
        <v>2250</v>
      </c>
      <c r="IH11" s="51">
        <v>2251</v>
      </c>
      <c r="II11" s="51">
        <v>2252</v>
      </c>
      <c r="IJ11" s="51">
        <v>2253</v>
      </c>
      <c r="IK11" s="51">
        <v>2254</v>
      </c>
      <c r="IL11" s="51">
        <v>2255</v>
      </c>
      <c r="IM11" s="51">
        <v>2256</v>
      </c>
      <c r="IN11" s="51">
        <v>2257</v>
      </c>
      <c r="IO11" s="51">
        <v>2258</v>
      </c>
      <c r="IP11" s="51">
        <v>2259</v>
      </c>
      <c r="IQ11" s="51">
        <v>2260</v>
      </c>
      <c r="IR11" s="51">
        <v>2261</v>
      </c>
      <c r="IS11" s="51">
        <v>2262</v>
      </c>
      <c r="IT11" s="51">
        <v>2263</v>
      </c>
      <c r="IU11" s="51">
        <v>2264</v>
      </c>
      <c r="IV11" s="51">
        <v>2265</v>
      </c>
    </row>
    <row r="12" spans="1:256" s="49" customFormat="1" x14ac:dyDescent="0.25">
      <c r="A12" s="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256" s="49" customFormat="1" x14ac:dyDescent="0.25">
      <c r="A13" s="1"/>
      <c r="B13" s="54">
        <v>38718</v>
      </c>
      <c r="C13" s="45">
        <f>I4</f>
        <v>100000</v>
      </c>
      <c r="D13" s="45">
        <f>C16</f>
        <v>103200</v>
      </c>
      <c r="E13" s="45">
        <f t="shared" ref="E13:R13" si="0">D16</f>
        <v>106502.39999999999</v>
      </c>
      <c r="F13" s="45">
        <f t="shared" si="0"/>
        <v>109910.4768</v>
      </c>
      <c r="G13" s="45">
        <f t="shared" si="0"/>
        <v>113427.61205760001</v>
      </c>
      <c r="H13" s="45">
        <f t="shared" si="0"/>
        <v>117057.29564344321</v>
      </c>
      <c r="I13" s="45">
        <f t="shared" si="0"/>
        <v>120803.1291040334</v>
      </c>
      <c r="J13" s="45">
        <f t="shared" si="0"/>
        <v>124668.82923536247</v>
      </c>
      <c r="K13" s="45">
        <f t="shared" si="0"/>
        <v>128658.23177089407</v>
      </c>
      <c r="L13" s="45">
        <f t="shared" si="0"/>
        <v>132775.2951875627</v>
      </c>
      <c r="M13" s="45">
        <f t="shared" si="0"/>
        <v>137024.10463356471</v>
      </c>
      <c r="N13" s="45">
        <f t="shared" si="0"/>
        <v>141408.87598183879</v>
      </c>
      <c r="O13" s="45">
        <f t="shared" si="0"/>
        <v>145933.96001325763</v>
      </c>
      <c r="P13" s="45">
        <f t="shared" si="0"/>
        <v>150603.84673368186</v>
      </c>
      <c r="Q13" s="45">
        <f t="shared" si="0"/>
        <v>155423.16982915968</v>
      </c>
      <c r="R13" s="45">
        <f t="shared" si="0"/>
        <v>160396.71126369279</v>
      </c>
    </row>
    <row r="14" spans="1:256" s="49" customFormat="1" x14ac:dyDescent="0.25">
      <c r="A14" s="1"/>
      <c r="B14" s="53" t="s">
        <v>31</v>
      </c>
      <c r="C14" s="45">
        <f>C13*$I$7</f>
        <v>4000</v>
      </c>
      <c r="D14" s="45">
        <f t="shared" ref="D14:R14" si="1">D13*$I$7</f>
        <v>4128</v>
      </c>
      <c r="E14" s="45">
        <f t="shared" si="1"/>
        <v>4260.0959999999995</v>
      </c>
      <c r="F14" s="45">
        <f t="shared" si="1"/>
        <v>4396.4190720000006</v>
      </c>
      <c r="G14" s="45">
        <f t="shared" si="1"/>
        <v>4537.1044823040002</v>
      </c>
      <c r="H14" s="45">
        <f t="shared" si="1"/>
        <v>4682.2918257377287</v>
      </c>
      <c r="I14" s="45">
        <f t="shared" si="1"/>
        <v>4832.1251641613362</v>
      </c>
      <c r="J14" s="45">
        <f t="shared" si="1"/>
        <v>4986.7531694144991</v>
      </c>
      <c r="K14" s="45">
        <f t="shared" si="1"/>
        <v>5146.3292708357631</v>
      </c>
      <c r="L14" s="45">
        <f t="shared" si="1"/>
        <v>5311.0118075025084</v>
      </c>
      <c r="M14" s="45">
        <f t="shared" si="1"/>
        <v>5480.9641853425883</v>
      </c>
      <c r="N14" s="45">
        <f t="shared" si="1"/>
        <v>5656.3550392735515</v>
      </c>
      <c r="O14" s="45">
        <f t="shared" si="1"/>
        <v>5837.3584005303055</v>
      </c>
      <c r="P14" s="45">
        <f t="shared" si="1"/>
        <v>6024.1538693472748</v>
      </c>
      <c r="Q14" s="45">
        <f t="shared" si="1"/>
        <v>6216.9267931663871</v>
      </c>
      <c r="R14" s="45">
        <f t="shared" si="1"/>
        <v>6415.8684505477122</v>
      </c>
    </row>
    <row r="15" spans="1:256" s="49" customFormat="1" x14ac:dyDescent="0.25">
      <c r="A15" s="1"/>
      <c r="B15" s="53" t="s">
        <v>36</v>
      </c>
      <c r="C15" s="45">
        <f>-C14*$I$9</f>
        <v>-800</v>
      </c>
      <c r="D15" s="45">
        <f t="shared" ref="D15:R15" si="2">-D14*$I$9</f>
        <v>-825.6</v>
      </c>
      <c r="E15" s="45">
        <f t="shared" si="2"/>
        <v>-852.01919999999996</v>
      </c>
      <c r="F15" s="45">
        <f t="shared" si="2"/>
        <v>-879.28381440000021</v>
      </c>
      <c r="G15" s="45">
        <f t="shared" si="2"/>
        <v>-907.42089646080012</v>
      </c>
      <c r="H15" s="45">
        <f t="shared" si="2"/>
        <v>-936.45836514754581</v>
      </c>
      <c r="I15" s="45">
        <f t="shared" si="2"/>
        <v>-966.42503283226733</v>
      </c>
      <c r="J15" s="45">
        <f t="shared" si="2"/>
        <v>-997.35063388289984</v>
      </c>
      <c r="K15" s="45">
        <f t="shared" si="2"/>
        <v>-1029.2658541671526</v>
      </c>
      <c r="L15" s="45">
        <f t="shared" si="2"/>
        <v>-1062.2023615005016</v>
      </c>
      <c r="M15" s="45">
        <f t="shared" si="2"/>
        <v>-1096.1928370685177</v>
      </c>
      <c r="N15" s="45">
        <f t="shared" si="2"/>
        <v>-1131.2710078547104</v>
      </c>
      <c r="O15" s="45">
        <f t="shared" si="2"/>
        <v>-1167.4716801060611</v>
      </c>
      <c r="P15" s="45">
        <f t="shared" si="2"/>
        <v>-1204.830773869455</v>
      </c>
      <c r="Q15" s="45">
        <f t="shared" si="2"/>
        <v>-1243.3853586332775</v>
      </c>
      <c r="R15" s="45">
        <f t="shared" si="2"/>
        <v>-1283.1736901095426</v>
      </c>
    </row>
    <row r="16" spans="1:256" s="49" customFormat="1" x14ac:dyDescent="0.25">
      <c r="A16" s="1"/>
      <c r="B16" s="52">
        <v>39082</v>
      </c>
      <c r="C16" s="45">
        <f>SUM(C13:C15)</f>
        <v>103200</v>
      </c>
      <c r="D16" s="45">
        <f t="shared" ref="D16:R16" si="3">SUM(D13:D15)</f>
        <v>106502.39999999999</v>
      </c>
      <c r="E16" s="45">
        <f t="shared" si="3"/>
        <v>109910.4768</v>
      </c>
      <c r="F16" s="45">
        <f t="shared" si="3"/>
        <v>113427.61205760001</v>
      </c>
      <c r="G16" s="45">
        <f t="shared" si="3"/>
        <v>117057.29564344321</v>
      </c>
      <c r="H16" s="45">
        <f t="shared" si="3"/>
        <v>120803.1291040334</v>
      </c>
      <c r="I16" s="45">
        <f t="shared" si="3"/>
        <v>124668.82923536247</v>
      </c>
      <c r="J16" s="45">
        <f t="shared" si="3"/>
        <v>128658.23177089407</v>
      </c>
      <c r="K16" s="45">
        <f t="shared" si="3"/>
        <v>132775.2951875627</v>
      </c>
      <c r="L16" s="45">
        <f t="shared" si="3"/>
        <v>137024.10463356471</v>
      </c>
      <c r="M16" s="45">
        <f t="shared" si="3"/>
        <v>141408.87598183879</v>
      </c>
      <c r="N16" s="45">
        <f t="shared" si="3"/>
        <v>145933.96001325763</v>
      </c>
      <c r="O16" s="45">
        <f t="shared" si="3"/>
        <v>150603.84673368186</v>
      </c>
      <c r="P16" s="45">
        <f t="shared" si="3"/>
        <v>155423.16982915968</v>
      </c>
      <c r="Q16" s="45">
        <f t="shared" si="3"/>
        <v>160396.71126369279</v>
      </c>
      <c r="R16" s="45">
        <f t="shared" si="3"/>
        <v>165529.40602413096</v>
      </c>
    </row>
    <row r="17" spans="1:18" s="49" customFormat="1" x14ac:dyDescent="0.25">
      <c r="A17" s="1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s="49" customFormat="1" x14ac:dyDescent="0.25">
      <c r="A18" s="1"/>
      <c r="B18" s="53" t="s">
        <v>32</v>
      </c>
      <c r="C18" s="45">
        <f>C13*$I$5</f>
        <v>25000</v>
      </c>
      <c r="D18" s="45">
        <f t="shared" ref="D18:R18" si="4">D13*$I$5</f>
        <v>25800</v>
      </c>
      <c r="E18" s="45">
        <f t="shared" si="4"/>
        <v>26625.599999999999</v>
      </c>
      <c r="F18" s="45">
        <f t="shared" si="4"/>
        <v>27477.619200000001</v>
      </c>
      <c r="G18" s="45">
        <f t="shared" si="4"/>
        <v>28356.903014400003</v>
      </c>
      <c r="H18" s="45">
        <f t="shared" si="4"/>
        <v>29264.323910860803</v>
      </c>
      <c r="I18" s="45">
        <f t="shared" si="4"/>
        <v>30200.782276008351</v>
      </c>
      <c r="J18" s="45">
        <f t="shared" si="4"/>
        <v>31167.207308840618</v>
      </c>
      <c r="K18" s="45">
        <f t="shared" si="4"/>
        <v>32164.557942723517</v>
      </c>
      <c r="L18" s="45">
        <f t="shared" si="4"/>
        <v>33193.823796890676</v>
      </c>
      <c r="M18" s="45">
        <f t="shared" si="4"/>
        <v>34256.026158391178</v>
      </c>
      <c r="N18" s="45">
        <f t="shared" si="4"/>
        <v>35352.218995459698</v>
      </c>
      <c r="O18" s="45">
        <f t="shared" si="4"/>
        <v>36483.490003314408</v>
      </c>
      <c r="P18" s="45">
        <f t="shared" si="4"/>
        <v>37650.961683420464</v>
      </c>
      <c r="Q18" s="45">
        <f t="shared" si="4"/>
        <v>38855.792457289921</v>
      </c>
      <c r="R18" s="45">
        <f t="shared" si="4"/>
        <v>40099.177815923198</v>
      </c>
    </row>
    <row r="19" spans="1:18" s="49" customFormat="1" x14ac:dyDescent="0.25">
      <c r="A19" s="1"/>
      <c r="B19" s="53" t="s">
        <v>76</v>
      </c>
      <c r="C19" s="45">
        <f t="shared" ref="C19:Q19" si="5">D19/(1+$I$8)</f>
        <v>21422.352858540024</v>
      </c>
      <c r="D19" s="45">
        <f t="shared" si="5"/>
        <v>22279.246972881625</v>
      </c>
      <c r="E19" s="45">
        <f t="shared" si="5"/>
        <v>23170.41685179689</v>
      </c>
      <c r="F19" s="45">
        <f t="shared" si="5"/>
        <v>24097.233525868767</v>
      </c>
      <c r="G19" s="45">
        <f t="shared" si="5"/>
        <v>25061.122866903519</v>
      </c>
      <c r="H19" s="45">
        <f t="shared" si="5"/>
        <v>26063.567781579663</v>
      </c>
      <c r="I19" s="45">
        <f t="shared" si="5"/>
        <v>27106.11049284285</v>
      </c>
      <c r="J19" s="45">
        <f t="shared" si="5"/>
        <v>28190.354912556566</v>
      </c>
      <c r="K19" s="45">
        <f t="shared" si="5"/>
        <v>29317.969109058831</v>
      </c>
      <c r="L19" s="45">
        <f t="shared" si="5"/>
        <v>30490.687873421186</v>
      </c>
      <c r="M19" s="45">
        <f t="shared" si="5"/>
        <v>31710.315388358034</v>
      </c>
      <c r="N19" s="45">
        <f t="shared" si="5"/>
        <v>32978.728003892356</v>
      </c>
      <c r="O19" s="45">
        <f t="shared" si="5"/>
        <v>34297.877124048049</v>
      </c>
      <c r="P19" s="45">
        <f t="shared" si="5"/>
        <v>35669.792209009975</v>
      </c>
      <c r="Q19" s="45">
        <f t="shared" si="5"/>
        <v>37096.583897370372</v>
      </c>
      <c r="R19" s="45">
        <f>C31/(1+$I$8)</f>
        <v>38580.447253265185</v>
      </c>
    </row>
    <row r="20" spans="1:18" s="49" customFormat="1" x14ac:dyDescent="0.25">
      <c r="A20" s="1"/>
      <c r="B20" s="53" t="s">
        <v>33</v>
      </c>
      <c r="C20" s="46">
        <f>C19/C18</f>
        <v>0.8568941143416009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 s="49" customFormat="1" x14ac:dyDescent="0.25">
      <c r="A21" s="1"/>
      <c r="B21" s="53" t="s">
        <v>35</v>
      </c>
      <c r="C21" s="47">
        <f>C20*I5</f>
        <v>0.21422352858540022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 s="49" customFormat="1" x14ac:dyDescent="0.25">
      <c r="A22" s="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 s="49" customFormat="1" x14ac:dyDescent="0.25">
      <c r="A23" s="1"/>
      <c r="C23" s="38">
        <v>2029</v>
      </c>
      <c r="D23" s="38">
        <v>2030</v>
      </c>
      <c r="E23" s="38">
        <v>2031</v>
      </c>
      <c r="F23" s="38">
        <v>2032</v>
      </c>
      <c r="G23" s="38">
        <v>2033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 s="49" customFormat="1" x14ac:dyDescent="0.25">
      <c r="A24" s="1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 s="49" customFormat="1" x14ac:dyDescent="0.25">
      <c r="A25" s="1"/>
      <c r="B25" s="52">
        <v>38718</v>
      </c>
      <c r="C25" s="45">
        <f>R16</f>
        <v>165529.40602413096</v>
      </c>
      <c r="D25" s="45">
        <f>C28</f>
        <v>170826.34701690314</v>
      </c>
      <c r="E25" s="45">
        <f>D28</f>
        <v>176292.79012144404</v>
      </c>
      <c r="F25" s="45">
        <f>E28</f>
        <v>181934.15940533025</v>
      </c>
      <c r="G25" s="45">
        <f>F28</f>
        <v>187756.05250630082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 s="49" customFormat="1" x14ac:dyDescent="0.25">
      <c r="A26" s="1"/>
      <c r="B26" s="53" t="s">
        <v>31</v>
      </c>
      <c r="C26" s="45">
        <f>C25*$I$7</f>
        <v>6621.1762409652383</v>
      </c>
      <c r="D26" s="45">
        <f>D25*$I$7</f>
        <v>6833.0538806761251</v>
      </c>
      <c r="E26" s="45">
        <f>E25*$I$7</f>
        <v>7051.7116048577618</v>
      </c>
      <c r="F26" s="45">
        <f>F25*$I$7</f>
        <v>7277.3663762132101</v>
      </c>
      <c r="G26" s="45">
        <f>G25*$I$7</f>
        <v>7510.2421002520332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 s="49" customFormat="1" x14ac:dyDescent="0.25">
      <c r="A27" s="1"/>
      <c r="B27" s="53" t="s">
        <v>36</v>
      </c>
      <c r="C27" s="45">
        <f>-C26*$I$9</f>
        <v>-1324.2352481930477</v>
      </c>
      <c r="D27" s="45">
        <f>-D26*$I$9</f>
        <v>-1366.610776135225</v>
      </c>
      <c r="E27" s="45">
        <f>-E26*$I$9</f>
        <v>-1410.3423209715525</v>
      </c>
      <c r="F27" s="45">
        <f>-F26*$I$9</f>
        <v>-1455.4732752426421</v>
      </c>
      <c r="G27" s="45">
        <f>-G26*$I$9</f>
        <v>-1502.0484200504068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s="49" customFormat="1" x14ac:dyDescent="0.25">
      <c r="A28" s="1"/>
      <c r="B28" s="52">
        <v>39082</v>
      </c>
      <c r="C28" s="45">
        <f>SUM(C25:C27)</f>
        <v>170826.34701690314</v>
      </c>
      <c r="D28" s="45">
        <f>SUM(D25:D27)</f>
        <v>176292.79012144404</v>
      </c>
      <c r="E28" s="45">
        <f>SUM(E25:E27)</f>
        <v>181934.15940533025</v>
      </c>
      <c r="F28" s="45">
        <f>SUM(F25:F27)</f>
        <v>187756.05250630082</v>
      </c>
      <c r="G28" s="45">
        <f>SUM(G25:G27)</f>
        <v>193764.24618650245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 s="49" customFormat="1" x14ac:dyDescent="0.25">
      <c r="A29" s="1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s="49" customFormat="1" x14ac:dyDescent="0.25">
      <c r="A30" s="1"/>
      <c r="B30" s="53" t="s">
        <v>32</v>
      </c>
      <c r="C30" s="45">
        <f>C25*$I$5</f>
        <v>41382.351506032741</v>
      </c>
      <c r="D30" s="45">
        <f>D25*$I$5</f>
        <v>42706.586754225784</v>
      </c>
      <c r="E30" s="45">
        <f>E25*$I$5</f>
        <v>44073.197530361009</v>
      </c>
      <c r="F30" s="45">
        <f>F25*$I$5</f>
        <v>45483.539851332564</v>
      </c>
      <c r="G30" s="45">
        <f>G25*$I$5</f>
        <v>46939.013126575206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 s="49" customFormat="1" x14ac:dyDescent="0.25">
      <c r="A31" s="1"/>
      <c r="B31" s="53" t="s">
        <v>77</v>
      </c>
      <c r="C31" s="45">
        <f>D31/(1+$I$8)</f>
        <v>40123.665143395796</v>
      </c>
      <c r="D31" s="45">
        <f>E31/(1+$I$8)</f>
        <v>41728.611749131633</v>
      </c>
      <c r="E31" s="45">
        <f>F31/(1+$I$8)</f>
        <v>43397.756219096897</v>
      </c>
      <c r="F31" s="45">
        <f>G31/(1+$I$8)</f>
        <v>45133.66646786077</v>
      </c>
      <c r="G31" s="45">
        <f>G30</f>
        <v>46939.013126575206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 s="49" customFormat="1" x14ac:dyDescent="0.25">
      <c r="A32" s="1"/>
      <c r="B32" s="55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2:2" x14ac:dyDescent="0.25">
      <c r="B33" s="55"/>
    </row>
    <row r="34" spans="2:2" x14ac:dyDescent="0.25">
      <c r="B34" s="37"/>
    </row>
    <row r="35" spans="2:2" x14ac:dyDescent="0.25"/>
    <row r="36" spans="2:2" x14ac:dyDescent="0.25"/>
  </sheetData>
  <phoneticPr fontId="0" type="noConversion"/>
  <pageMargins left="0.75" right="0.75" top="1" bottom="1" header="0.5" footer="0.5"/>
  <pageSetup paperSize="9" orientation="landscape" horizontalDpi="4294967295" r:id="rId1"/>
  <headerFooter alignWithMargins="0">
    <oddFooter>&amp;L&amp;8Omslagpunt eenmanszaak of BV, E.124, 16-01-2014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showGridLines="0" zoomScaleNormal="100" workbookViewId="0"/>
  </sheetViews>
  <sheetFormatPr defaultColWidth="0" defaultRowHeight="13.2" zeroHeight="1" x14ac:dyDescent="0.25"/>
  <cols>
    <col min="1" max="1" width="2.88671875" customWidth="1"/>
    <col min="2" max="2" width="3.5546875" customWidth="1"/>
    <col min="3" max="15" width="9.109375" customWidth="1"/>
    <col min="16" max="16" width="19.33203125" customWidth="1"/>
  </cols>
  <sheetData>
    <row r="1" spans="1:3" x14ac:dyDescent="0.25">
      <c r="A1" s="35" t="s">
        <v>84</v>
      </c>
      <c r="C1" s="41"/>
    </row>
    <row r="2" spans="1:3" x14ac:dyDescent="0.25">
      <c r="B2" s="40"/>
      <c r="C2" s="41"/>
    </row>
    <row r="3" spans="1:3" x14ac:dyDescent="0.25">
      <c r="B3" s="40" t="s">
        <v>38</v>
      </c>
      <c r="C3" s="41"/>
    </row>
    <row r="4" spans="1:3" x14ac:dyDescent="0.25">
      <c r="B4" s="40" t="s">
        <v>39</v>
      </c>
      <c r="C4" s="41"/>
    </row>
    <row r="5" spans="1:3" x14ac:dyDescent="0.25">
      <c r="B5" s="40" t="s">
        <v>40</v>
      </c>
      <c r="C5" s="41"/>
    </row>
    <row r="6" spans="1:3" x14ac:dyDescent="0.25">
      <c r="B6" s="40" t="s">
        <v>41</v>
      </c>
      <c r="C6" s="41"/>
    </row>
    <row r="7" spans="1:3" x14ac:dyDescent="0.25">
      <c r="B7" s="40"/>
      <c r="C7" s="41"/>
    </row>
    <row r="8" spans="1:3" x14ac:dyDescent="0.25">
      <c r="B8" s="40" t="s">
        <v>42</v>
      </c>
      <c r="C8" s="41"/>
    </row>
    <row r="9" spans="1:3" x14ac:dyDescent="0.25">
      <c r="B9" s="40" t="s">
        <v>43</v>
      </c>
      <c r="C9" s="41"/>
    </row>
    <row r="10" spans="1:3" x14ac:dyDescent="0.25">
      <c r="B10" s="40"/>
      <c r="C10" s="41"/>
    </row>
    <row r="11" spans="1:3" x14ac:dyDescent="0.25">
      <c r="B11" s="40" t="s">
        <v>44</v>
      </c>
      <c r="C11" s="41"/>
    </row>
    <row r="12" spans="1:3" x14ac:dyDescent="0.25">
      <c r="B12" s="40" t="s">
        <v>45</v>
      </c>
      <c r="C12" s="41"/>
    </row>
    <row r="13" spans="1:3" x14ac:dyDescent="0.25">
      <c r="B13" s="40" t="s">
        <v>46</v>
      </c>
      <c r="C13" s="41"/>
    </row>
    <row r="14" spans="1:3" x14ac:dyDescent="0.25">
      <c r="B14" s="40" t="s">
        <v>47</v>
      </c>
      <c r="C14" s="41"/>
    </row>
    <row r="15" spans="1:3" x14ac:dyDescent="0.25">
      <c r="B15" s="40" t="s">
        <v>48</v>
      </c>
      <c r="C15" s="41"/>
    </row>
    <row r="16" spans="1:3" x14ac:dyDescent="0.25">
      <c r="B16" s="40"/>
      <c r="C16" s="41"/>
    </row>
    <row r="17" spans="2:3" x14ac:dyDescent="0.25">
      <c r="B17" s="40" t="s">
        <v>49</v>
      </c>
      <c r="C17" s="41"/>
    </row>
    <row r="18" spans="2:3" x14ac:dyDescent="0.25">
      <c r="B18" s="40" t="s">
        <v>50</v>
      </c>
      <c r="C18" s="41"/>
    </row>
    <row r="19" spans="2:3" x14ac:dyDescent="0.25">
      <c r="B19" s="40" t="s">
        <v>51</v>
      </c>
      <c r="C19" s="41"/>
    </row>
    <row r="20" spans="2:3" x14ac:dyDescent="0.25">
      <c r="B20" s="40" t="s">
        <v>52</v>
      </c>
      <c r="C20" s="41"/>
    </row>
    <row r="21" spans="2:3" x14ac:dyDescent="0.25">
      <c r="B21" s="40" t="s">
        <v>53</v>
      </c>
      <c r="C21" s="41"/>
    </row>
    <row r="22" spans="2:3" x14ac:dyDescent="0.25">
      <c r="B22" s="40" t="s">
        <v>54</v>
      </c>
      <c r="C22" s="41"/>
    </row>
    <row r="23" spans="2:3" x14ac:dyDescent="0.25">
      <c r="B23" s="40" t="s">
        <v>72</v>
      </c>
      <c r="C23" s="41"/>
    </row>
    <row r="24" spans="2:3" x14ac:dyDescent="0.25">
      <c r="B24" s="40" t="s">
        <v>73</v>
      </c>
      <c r="C24" s="41"/>
    </row>
    <row r="25" spans="2:3" x14ac:dyDescent="0.25">
      <c r="B25" s="40"/>
      <c r="C25" s="41"/>
    </row>
    <row r="26" spans="2:3" x14ac:dyDescent="0.25">
      <c r="B26" s="56" t="s">
        <v>37</v>
      </c>
      <c r="C26" s="41"/>
    </row>
    <row r="27" spans="2:3" x14ac:dyDescent="0.25">
      <c r="B27" s="43" t="s">
        <v>55</v>
      </c>
      <c r="C27" s="41" t="s">
        <v>74</v>
      </c>
    </row>
    <row r="28" spans="2:3" x14ac:dyDescent="0.25">
      <c r="B28" s="43"/>
      <c r="C28" t="s">
        <v>85</v>
      </c>
    </row>
    <row r="29" spans="2:3" x14ac:dyDescent="0.25">
      <c r="B29" s="43"/>
      <c r="C29" s="41" t="s">
        <v>75</v>
      </c>
    </row>
    <row r="30" spans="2:3" x14ac:dyDescent="0.25">
      <c r="B30" s="44" t="s">
        <v>56</v>
      </c>
      <c r="C30" s="44" t="s">
        <v>59</v>
      </c>
    </row>
    <row r="31" spans="2:3" x14ac:dyDescent="0.25">
      <c r="C31" t="s">
        <v>60</v>
      </c>
    </row>
    <row r="32" spans="2:3" x14ac:dyDescent="0.25">
      <c r="C32" t="s">
        <v>61</v>
      </c>
    </row>
    <row r="33" spans="2:3" x14ac:dyDescent="0.25">
      <c r="B33" s="43" t="s">
        <v>57</v>
      </c>
      <c r="C33" t="s">
        <v>62</v>
      </c>
    </row>
    <row r="34" spans="2:3" x14ac:dyDescent="0.25">
      <c r="C34" t="s">
        <v>63</v>
      </c>
    </row>
    <row r="35" spans="2:3" x14ac:dyDescent="0.25">
      <c r="C35" t="s">
        <v>64</v>
      </c>
    </row>
    <row r="36" spans="2:3" x14ac:dyDescent="0.25">
      <c r="C36" t="s">
        <v>65</v>
      </c>
    </row>
    <row r="37" spans="2:3" x14ac:dyDescent="0.25">
      <c r="B37" s="43" t="s">
        <v>58</v>
      </c>
      <c r="C37" s="41" t="s">
        <v>69</v>
      </c>
    </row>
    <row r="38" spans="2:3" x14ac:dyDescent="0.25">
      <c r="B38" s="42"/>
      <c r="C38" s="41" t="s">
        <v>70</v>
      </c>
    </row>
    <row r="39" spans="2:3" x14ac:dyDescent="0.25">
      <c r="B39" s="61" t="s">
        <v>82</v>
      </c>
      <c r="C39" s="61" t="s">
        <v>83</v>
      </c>
    </row>
    <row r="40" spans="2:3" x14ac:dyDescent="0.25">
      <c r="B40" s="42"/>
      <c r="C40" s="41"/>
    </row>
    <row r="41" spans="2:3" x14ac:dyDescent="0.25">
      <c r="B41" s="41"/>
      <c r="C41" s="41"/>
    </row>
    <row r="42" spans="2:3" hidden="1" x14ac:dyDescent="0.25">
      <c r="B42" s="35"/>
      <c r="C42" s="41"/>
    </row>
    <row r="43" spans="2:3" hidden="1" x14ac:dyDescent="0.25"/>
    <row r="44" spans="2:3" hidden="1" x14ac:dyDescent="0.25"/>
    <row r="45" spans="2:3" hidden="1" x14ac:dyDescent="0.25"/>
    <row r="46" spans="2:3" hidden="1" x14ac:dyDescent="0.25"/>
    <row r="47" spans="2:3" hidden="1" x14ac:dyDescent="0.25"/>
    <row r="48" spans="2: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spans="2:2" hidden="1" x14ac:dyDescent="0.25"/>
    <row r="66" spans="2:2" hidden="1" x14ac:dyDescent="0.25">
      <c r="B66" s="37"/>
    </row>
    <row r="67" spans="2:2" hidden="1" x14ac:dyDescent="0.25"/>
    <row r="68" spans="2:2" hidden="1" x14ac:dyDescent="0.25"/>
    <row r="69" spans="2:2" hidden="1" x14ac:dyDescent="0.25"/>
    <row r="70" spans="2:2" hidden="1" x14ac:dyDescent="0.25"/>
    <row r="71" spans="2:2" hidden="1" x14ac:dyDescent="0.25"/>
    <row r="72" spans="2:2" hidden="1" x14ac:dyDescent="0.25"/>
    <row r="73" spans="2:2" x14ac:dyDescent="0.25"/>
  </sheetData>
  <phoneticPr fontId="0" type="noConversion"/>
  <pageMargins left="0.75" right="0.75" top="0.45" bottom="1" header="0.3" footer="0.5"/>
  <pageSetup paperSize="9" scale="91" orientation="landscape" horizontalDpi="4294967295" r:id="rId1"/>
  <headerFooter alignWithMargins="0">
    <oddFooter>&amp;L&amp;8Omslagpunt eenmanszaak of BV, E.124, 16-01-2014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Berekening omslagpunt EZ-BV</vt:lpstr>
      <vt:lpstr>Latente box 2 heffing</vt:lpstr>
      <vt:lpstr>Toelichting</vt:lpstr>
      <vt:lpstr>'Berekening omslagpunt EZ-BV'!Afdrukbereik</vt:lpstr>
    </vt:vector>
  </TitlesOfParts>
  <Company>FISCOUNT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beverloo</dc:creator>
  <cp:lastModifiedBy>Robert Zeggelaar</cp:lastModifiedBy>
  <cp:lastPrinted>2013-03-25T09:52:53Z</cp:lastPrinted>
  <dcterms:created xsi:type="dcterms:W3CDTF">2006-09-01T09:33:36Z</dcterms:created>
  <dcterms:modified xsi:type="dcterms:W3CDTF">2014-11-27T12:10:54Z</dcterms:modified>
</cp:coreProperties>
</file>